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ek\Dropbox\Financien Arcana\Penningen Arcana\2019\"/>
    </mc:Choice>
  </mc:AlternateContent>
  <bookViews>
    <workbookView xWindow="0" yWindow="0" windowWidth="5640" windowHeight="1170" tabRatio="879"/>
  </bookViews>
  <sheets>
    <sheet name="Balans" sheetId="3" r:id="rId1"/>
    <sheet name="Vereniging" sheetId="1" r:id="rId2"/>
    <sheet name="Elerion" sheetId="2" r:id="rId3"/>
    <sheet name="Bron" sheetId="4" r:id="rId4"/>
    <sheet name="Herberg" sheetId="5" r:id="rId5"/>
    <sheet name="Poorten van Alexandria" sheetId="9" r:id="rId6"/>
    <sheet name="Horror" sheetId="10" r:id="rId7"/>
    <sheet name="Moresnet" sheetId="8" r:id="rId8"/>
    <sheet name="Belvedere" sheetId="7" r:id="rId9"/>
    <sheet name="Lustrum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  <c r="G48" i="7" l="1"/>
  <c r="G51" i="7" s="1"/>
  <c r="F48" i="7"/>
  <c r="F49" i="7" s="1"/>
  <c r="G50" i="7" s="1"/>
  <c r="D48" i="7"/>
  <c r="C48" i="7"/>
  <c r="C49" i="7" s="1"/>
  <c r="F51" i="7" l="1"/>
  <c r="F21" i="7" l="1"/>
  <c r="C21" i="7"/>
  <c r="G21" i="7" l="1"/>
  <c r="D21" i="7"/>
  <c r="D24" i="7"/>
  <c r="C22" i="7"/>
  <c r="C24" i="7" s="1"/>
  <c r="G24" i="7"/>
  <c r="F22" i="7"/>
  <c r="G23" i="7" s="1"/>
  <c r="F24" i="7" l="1"/>
  <c r="D14" i="11" l="1"/>
  <c r="C14" i="11"/>
  <c r="C15" i="11" l="1"/>
  <c r="C16" i="11" s="1"/>
  <c r="D16" i="11"/>
  <c r="D47" i="8" l="1"/>
  <c r="G44" i="8"/>
  <c r="G47" i="8" s="1"/>
  <c r="D44" i="8"/>
  <c r="C44" i="8"/>
  <c r="C45" i="8" s="1"/>
  <c r="C47" i="8" s="1"/>
  <c r="F30" i="8"/>
  <c r="F44" i="8" s="1"/>
  <c r="F47" i="8" l="1"/>
  <c r="F45" i="8"/>
  <c r="G46" i="8" s="1"/>
  <c r="G13" i="8" l="1"/>
  <c r="G16" i="8" s="1"/>
  <c r="F13" i="8"/>
  <c r="D13" i="8"/>
  <c r="D16" i="8" s="1"/>
  <c r="C13" i="8"/>
  <c r="C14" i="8" l="1"/>
  <c r="C16" i="8" s="1"/>
  <c r="F14" i="8"/>
  <c r="G15" i="8" s="1"/>
  <c r="F16" i="8" l="1"/>
  <c r="C18" i="10" l="1"/>
  <c r="C11" i="10"/>
  <c r="F10" i="10"/>
  <c r="F18" i="10" s="1"/>
  <c r="C10" i="10"/>
  <c r="G8" i="10"/>
  <c r="G7" i="10"/>
  <c r="G6" i="10"/>
  <c r="G18" i="10" s="1"/>
  <c r="F19" i="10" s="1"/>
  <c r="F20" i="10" s="1"/>
  <c r="D6" i="10"/>
  <c r="D18" i="10" s="1"/>
  <c r="C19" i="10" s="1"/>
  <c r="C20" i="10" s="1"/>
  <c r="C15" i="9" l="1"/>
  <c r="C11" i="9"/>
  <c r="F10" i="9"/>
  <c r="C10" i="9"/>
  <c r="F9" i="9"/>
  <c r="F15" i="9" s="1"/>
  <c r="C9" i="9"/>
  <c r="G7" i="9"/>
  <c r="D7" i="9"/>
  <c r="G6" i="9"/>
  <c r="G15" i="9" s="1"/>
  <c r="D6" i="9"/>
  <c r="D15" i="9" s="1"/>
  <c r="C16" i="9" l="1"/>
  <c r="C17" i="9" s="1"/>
  <c r="D18" i="9"/>
  <c r="G18" i="9"/>
  <c r="F16" i="9"/>
  <c r="F17" i="9" s="1"/>
  <c r="C18" i="9"/>
  <c r="F18" i="9" l="1"/>
  <c r="G45" i="5" l="1"/>
  <c r="C39" i="5"/>
  <c r="C38" i="5"/>
  <c r="C36" i="5"/>
  <c r="D33" i="5"/>
  <c r="F45" i="5"/>
  <c r="C32" i="5"/>
  <c r="C45" i="5" s="1"/>
  <c r="D31" i="5"/>
  <c r="D30" i="5"/>
  <c r="D45" i="5" s="1"/>
  <c r="C46" i="5" l="1"/>
  <c r="C47" i="5" s="1"/>
  <c r="D48" i="5"/>
  <c r="C48" i="5"/>
  <c r="G48" i="5"/>
  <c r="F46" i="5"/>
  <c r="F47" i="5" s="1"/>
  <c r="F48" i="5" l="1"/>
  <c r="C14" i="5" l="1"/>
  <c r="C13" i="5"/>
  <c r="F11" i="5"/>
  <c r="C11" i="5"/>
  <c r="G9" i="5"/>
  <c r="D9" i="5"/>
  <c r="F8" i="5"/>
  <c r="F20" i="5" s="1"/>
  <c r="C8" i="5"/>
  <c r="C20" i="5" s="1"/>
  <c r="G7" i="5"/>
  <c r="D7" i="5"/>
  <c r="G6" i="5"/>
  <c r="G20" i="5" s="1"/>
  <c r="D6" i="5"/>
  <c r="D20" i="5" s="1"/>
  <c r="G23" i="5" l="1"/>
  <c r="F21" i="5"/>
  <c r="F22" i="5" s="1"/>
  <c r="C21" i="5"/>
  <c r="C22" i="5" s="1"/>
  <c r="D23" i="5"/>
  <c r="F23" i="5" l="1"/>
  <c r="C23" i="5"/>
  <c r="D30" i="2" l="1"/>
  <c r="D33" i="4"/>
  <c r="G30" i="4"/>
  <c r="F31" i="4" s="1"/>
  <c r="G32" i="4" s="1"/>
  <c r="C31" i="4"/>
  <c r="D32" i="4" s="1"/>
  <c r="D29" i="2"/>
  <c r="F30" i="4"/>
  <c r="C23" i="4"/>
  <c r="C18" i="4"/>
  <c r="C17" i="4"/>
  <c r="C16" i="4"/>
  <c r="D13" i="4"/>
  <c r="D11" i="4"/>
  <c r="C11" i="4"/>
  <c r="D10" i="4"/>
  <c r="C9" i="4"/>
  <c r="D8" i="4"/>
  <c r="D7" i="4"/>
  <c r="D6" i="4"/>
  <c r="G33" i="4" l="1"/>
  <c r="F33" i="4"/>
  <c r="D30" i="4"/>
  <c r="C30" i="4"/>
  <c r="C33" i="4" s="1"/>
  <c r="C44" i="2" l="1"/>
  <c r="C58" i="2" s="1"/>
  <c r="D41" i="2"/>
  <c r="D39" i="2"/>
  <c r="D38" i="2"/>
  <c r="D37" i="2"/>
  <c r="D58" i="2" s="1"/>
  <c r="D61" i="2" l="1"/>
  <c r="C59" i="2"/>
  <c r="D60" i="2" s="1"/>
  <c r="C61" i="2"/>
  <c r="C13" i="2" l="1"/>
  <c r="C27" i="2" s="1"/>
  <c r="D10" i="2"/>
  <c r="D8" i="2"/>
  <c r="D7" i="2"/>
  <c r="D6" i="2"/>
  <c r="D27" i="2" s="1"/>
  <c r="C28" i="2" l="1"/>
  <c r="C30" i="2" s="1"/>
  <c r="F25" i="3" l="1"/>
  <c r="B14" i="3"/>
  <c r="D24" i="1" l="1"/>
  <c r="D26" i="1" s="1"/>
  <c r="C24" i="1"/>
  <c r="C25" i="1" l="1"/>
  <c r="C26" i="1" s="1"/>
  <c r="F24" i="1" l="1"/>
  <c r="F26" i="1" s="1"/>
  <c r="E24" i="1"/>
  <c r="E25" i="1" l="1"/>
  <c r="F28" i="3" s="1"/>
  <c r="F29" i="3" s="1"/>
  <c r="E26" i="1" l="1"/>
</calcChain>
</file>

<file path=xl/sharedStrings.xml><?xml version="1.0" encoding="utf-8"?>
<sst xmlns="http://schemas.openxmlformats.org/spreadsheetml/2006/main" count="432" uniqueCount="136">
  <si>
    <t>postnr</t>
  </si>
  <si>
    <t>Omschrijving</t>
  </si>
  <si>
    <t>Debet</t>
  </si>
  <si>
    <t>Credit</t>
  </si>
  <si>
    <t>Algemeen</t>
  </si>
  <si>
    <t>Contributie</t>
  </si>
  <si>
    <t>giften</t>
  </si>
  <si>
    <t>Rente</t>
  </si>
  <si>
    <t>Reserveringen (lustrum)</t>
  </si>
  <si>
    <t>Administratie</t>
  </si>
  <si>
    <t>Berging</t>
  </si>
  <si>
    <t>Investeringen</t>
  </si>
  <si>
    <t>SFX</t>
  </si>
  <si>
    <t>Reparaties</t>
  </si>
  <si>
    <t>abonementen en diensten</t>
  </si>
  <si>
    <t>Verzekering</t>
  </si>
  <si>
    <t>PR</t>
  </si>
  <si>
    <t>Productie</t>
  </si>
  <si>
    <t>Bankkosten</t>
  </si>
  <si>
    <t>Schade</t>
  </si>
  <si>
    <t>oninbare debiteuren</t>
  </si>
  <si>
    <t>onvoorzien</t>
  </si>
  <si>
    <t>Subtotaal</t>
  </si>
  <si>
    <t>Saldo</t>
  </si>
  <si>
    <t>Subtotaal Algemeen</t>
  </si>
  <si>
    <t>Begroting</t>
  </si>
  <si>
    <t>Afrekening</t>
  </si>
  <si>
    <t>aantal</t>
  </si>
  <si>
    <t>Reserve evenement</t>
  </si>
  <si>
    <t>Spelers</t>
  </si>
  <si>
    <t>Crew</t>
  </si>
  <si>
    <t>Koks, fotograven etc.</t>
  </si>
  <si>
    <t>barkaarten</t>
  </si>
  <si>
    <t xml:space="preserve">Afdracht vereniging voor berging </t>
  </si>
  <si>
    <t>Afdracht vereniging voor reparatie en productie</t>
  </si>
  <si>
    <t>drinken</t>
  </si>
  <si>
    <t>eten</t>
  </si>
  <si>
    <t>Locatie</t>
  </si>
  <si>
    <t>Productie &amp; techniek</t>
  </si>
  <si>
    <t>Onvoorzien</t>
  </si>
  <si>
    <t>Totaal</t>
  </si>
  <si>
    <t>Saldo (als negatief dan verlies; anders winst)</t>
  </si>
  <si>
    <t>Totalen</t>
  </si>
  <si>
    <t>Wapens, requisieten, aankleding en monsters</t>
  </si>
  <si>
    <t>figuranten</t>
  </si>
  <si>
    <t>Donaties</t>
  </si>
  <si>
    <t>Administratie kosten</t>
  </si>
  <si>
    <t>Eten en drinken opbouwploeg/berginsdag</t>
  </si>
  <si>
    <t>Figurantendag</t>
  </si>
  <si>
    <t>Grime</t>
  </si>
  <si>
    <t>Kleding</t>
  </si>
  <si>
    <t>Papierwerk</t>
  </si>
  <si>
    <t>Transport</t>
  </si>
  <si>
    <t>Verhuur</t>
  </si>
  <si>
    <t>T-shirts</t>
  </si>
  <si>
    <t>Activa</t>
  </si>
  <si>
    <t>Passiva</t>
  </si>
  <si>
    <t>1000: Betaalrekening</t>
  </si>
  <si>
    <t>Eigen Vermogen</t>
  </si>
  <si>
    <t>1100: Spaarrekening</t>
  </si>
  <si>
    <t>1400: Nog te betalen (Crediteuren)</t>
  </si>
  <si>
    <t>1200: Kas</t>
  </si>
  <si>
    <t>1411: Vooruit ontvangen contributie</t>
  </si>
  <si>
    <t>1300: Nog te ontvangen (Debiteuren)</t>
  </si>
  <si>
    <t>1413: Vooruit ontvangen Herberg</t>
  </si>
  <si>
    <t>1414: Vooruit ontvangen Elerion</t>
  </si>
  <si>
    <t>1417: Lustrum reservering</t>
  </si>
  <si>
    <t>1605: Risico reserve</t>
  </si>
  <si>
    <t>1610: Elerion reserve</t>
  </si>
  <si>
    <t>1630: Bron reserve</t>
  </si>
  <si>
    <t>1660: Herberg reserve</t>
  </si>
  <si>
    <t>1670: Horror reserve</t>
  </si>
  <si>
    <t>1690: Vereniging reserve</t>
  </si>
  <si>
    <t>Controle:</t>
  </si>
  <si>
    <t>totalen saldo evenementen:</t>
  </si>
  <si>
    <t>verschil reserves vereniging:</t>
  </si>
  <si>
    <t>Ledenvergaderingen</t>
  </si>
  <si>
    <t>nieuwe reserve</t>
  </si>
  <si>
    <t>Koks, fotografen etc.</t>
  </si>
  <si>
    <t>Nieuwe reserve</t>
  </si>
  <si>
    <t>Barkaarten</t>
  </si>
  <si>
    <t>Drinken</t>
  </si>
  <si>
    <t xml:space="preserve">Eten   </t>
  </si>
  <si>
    <t>Eten en drinken opbouwploeg/bergingsdag</t>
  </si>
  <si>
    <t>Website</t>
  </si>
  <si>
    <t>1418: Vooruitontvangen Belvedere</t>
  </si>
  <si>
    <t>1650: Belvedere reserve</t>
  </si>
  <si>
    <t>Rekwisieten</t>
  </si>
  <si>
    <t>Eten</t>
  </si>
  <si>
    <t>Ontbijt</t>
  </si>
  <si>
    <t>-</t>
  </si>
  <si>
    <t>afrekening</t>
  </si>
  <si>
    <t>1458: Vooruitbetaalde bedragen Belvedere</t>
  </si>
  <si>
    <t xml:space="preserve">1459: Vooruitbetaalde bedragen kleine evenementen </t>
  </si>
  <si>
    <t>1415: Vooruitontvangen Bron</t>
  </si>
  <si>
    <t>1419: Vooruitontvangen kleine evenementen</t>
  </si>
  <si>
    <t>1655: Moresnet reserve</t>
  </si>
  <si>
    <t>Balans Arcana 2019</t>
  </si>
  <si>
    <t>Afrekening Vereniging 2019</t>
  </si>
  <si>
    <t>1412: Vooruit ontvangen Horror</t>
  </si>
  <si>
    <t>1452: Vooruitbetaalde bedragen Horror</t>
  </si>
  <si>
    <t>1454: Vooruitbetaalde bedragen Elerion</t>
  </si>
  <si>
    <t>1456: Vooruitbetaalde bedragen Poorten van Alexandria</t>
  </si>
  <si>
    <t>1416: Vooruitontvangen Poorten van Alexandria</t>
  </si>
  <si>
    <t>1620: Poorten van Alexandria reserve</t>
  </si>
  <si>
    <t>Elerion 48</t>
  </si>
  <si>
    <t>Elerion 49</t>
  </si>
  <si>
    <t>De Bron 13</t>
  </si>
  <si>
    <t>Figuranten</t>
  </si>
  <si>
    <t>Deelnemersdag</t>
  </si>
  <si>
    <t>Herberg 12</t>
  </si>
  <si>
    <t>Herberg 13</t>
  </si>
  <si>
    <t>Arcana Lidmaatsch. Koks, fotograven etc.</t>
  </si>
  <si>
    <t>Emballage</t>
  </si>
  <si>
    <t>Poorten van Alexandria 1</t>
  </si>
  <si>
    <t>Administratiekosten</t>
  </si>
  <si>
    <t>Eten/drinken/Schoonmaakspullen</t>
  </si>
  <si>
    <t>Props, aankleding</t>
  </si>
  <si>
    <t>Zombielarp: 18 uur</t>
  </si>
  <si>
    <t>Spelers+Figuranten</t>
  </si>
  <si>
    <t>Toeristenbelasting</t>
  </si>
  <si>
    <t>Aankleding</t>
  </si>
  <si>
    <t>Moresnet baravond 1</t>
  </si>
  <si>
    <t>Moresnet 1888 deel 2</t>
  </si>
  <si>
    <t>Kleding/Stof</t>
  </si>
  <si>
    <t>Afrekening Belvedere 5</t>
  </si>
  <si>
    <t>Begroot</t>
  </si>
  <si>
    <t>Betaald</t>
  </si>
  <si>
    <t>Lustrum 2019</t>
  </si>
  <si>
    <t>Reservering Lustrum</t>
  </si>
  <si>
    <t>Deelnemers</t>
  </si>
  <si>
    <t>eten en drinken</t>
  </si>
  <si>
    <t>aankleding, cadeau's en activiteiten</t>
  </si>
  <si>
    <t>afrekening Belvedere 6</t>
  </si>
  <si>
    <t xml:space="preserve"> </t>
  </si>
  <si>
    <t>terugvloeiing uit crediteur naar reserve: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</si>
</sst>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€&quot;\ * #,##0.00_ ;_ &quot;€&quot;\ * \-#,##0.00_ ;_ &quot;€&quot;\ * &quot;-&quot;??_ ;_ @_ "/>
    <numFmt numFmtId="164" formatCode="_-&quot;fl &quot;* #,##0.00_-;_-&quot;fl &quot;* #,##0.00\-;_-&quot;fl &quot;* \-??_-;_-@_-"/>
    <numFmt numFmtId="165" formatCode="&quot;€ &quot;#,##0.00"/>
    <numFmt numFmtId="166" formatCode="&quot;€&quot;\ #,##0.00"/>
    <numFmt numFmtId="167" formatCode="&quot;€ &quot;#,##0.00_-"/>
    <numFmt numFmtId="168" formatCode="[$€-413]\ #,##0.00;[Red][$€-413]\ #,##0.00\-"/>
    <numFmt numFmtId="169" formatCode="_ [$€-413]\ * #,##0.00_ ;_ [$€-413]\ * \-#,##0.00_ ;_ [$€-413]\ * &quot;-&quot;??_ ;_ @_ "/>
    <numFmt numFmtId="170" formatCode="[$€-413]\ #,##0.00;[Red][$€-413]\ \-#,##0.00"/>
    <numFmt numFmtId="171" formatCode="_ &quot;€ &quot;* #,##0.00_ ;_ &quot;€ &quot;* \-#,##0.00_ ;_ &quot;€ &quot;* \-??_ ;_ @_ "/>
    <numFmt numFmtId="172" formatCode="_(* #,##0.00_);_(* \(#,##0.00\);_(* \-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0"/>
      <name val="Calibri"/>
      <family val="2"/>
      <charset val="1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20"/>
      <color rgb="FF000000"/>
      <name val="Calibri"/>
      <family val="2"/>
    </font>
    <font>
      <b/>
      <sz val="10"/>
      <name val="Calibri"/>
      <family val="2"/>
    </font>
    <font>
      <sz val="20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</fills>
  <borders count="7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171" fontId="1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4">
    <xf numFmtId="0" fontId="0" fillId="0" borderId="0" xfId="0"/>
    <xf numFmtId="44" fontId="0" fillId="0" borderId="0" xfId="1" applyFont="1" applyBorder="1" applyAlignment="1" applyProtection="1"/>
    <xf numFmtId="44" fontId="6" fillId="0" borderId="0" xfId="1" applyFont="1" applyBorder="1" applyAlignment="1" applyProtection="1">
      <alignment horizontal="center"/>
    </xf>
    <xf numFmtId="1" fontId="0" fillId="0" borderId="0" xfId="1" applyNumberFormat="1" applyFont="1" applyBorder="1" applyAlignment="1" applyProtection="1">
      <alignment horizontal="center"/>
    </xf>
    <xf numFmtId="44" fontId="0" fillId="0" borderId="8" xfId="1" applyFont="1" applyBorder="1" applyAlignment="1" applyProtection="1"/>
    <xf numFmtId="44" fontId="0" fillId="0" borderId="11" xfId="1" applyFont="1" applyBorder="1" applyAlignment="1" applyProtection="1"/>
    <xf numFmtId="44" fontId="0" fillId="0" borderId="7" xfId="1" applyFont="1" applyBorder="1" applyAlignment="1" applyProtection="1"/>
    <xf numFmtId="44" fontId="0" fillId="0" borderId="4" xfId="1" applyFont="1" applyBorder="1" applyAlignment="1" applyProtection="1"/>
    <xf numFmtId="165" fontId="3" fillId="0" borderId="17" xfId="2" applyNumberFormat="1" applyFont="1" applyBorder="1" applyAlignment="1">
      <alignment horizontal="right"/>
    </xf>
    <xf numFmtId="165" fontId="3" fillId="0" borderId="18" xfId="2" applyNumberFormat="1" applyFont="1" applyBorder="1" applyAlignment="1">
      <alignment horizontal="right"/>
    </xf>
    <xf numFmtId="165" fontId="4" fillId="0" borderId="6" xfId="2" applyNumberFormat="1" applyFont="1" applyBorder="1"/>
    <xf numFmtId="166" fontId="1" fillId="0" borderId="9" xfId="1" applyNumberFormat="1" applyBorder="1"/>
    <xf numFmtId="165" fontId="4" fillId="0" borderId="6" xfId="2" applyNumberFormat="1" applyFont="1" applyFill="1" applyBorder="1"/>
    <xf numFmtId="166" fontId="1" fillId="0" borderId="9" xfId="1" applyNumberFormat="1" applyFill="1" applyBorder="1"/>
    <xf numFmtId="165" fontId="4" fillId="0" borderId="9" xfId="2" applyNumberFormat="1" applyFont="1" applyBorder="1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3" fillId="0" borderId="18" xfId="2" applyNumberFormat="1" applyFont="1" applyBorder="1"/>
    <xf numFmtId="0" fontId="0" fillId="0" borderId="17" xfId="0" applyBorder="1"/>
    <xf numFmtId="0" fontId="0" fillId="0" borderId="19" xfId="0" applyBorder="1"/>
    <xf numFmtId="165" fontId="4" fillId="0" borderId="20" xfId="2" applyNumberFormat="1" applyFont="1" applyBorder="1"/>
    <xf numFmtId="165" fontId="4" fillId="0" borderId="19" xfId="2" applyNumberFormat="1" applyFont="1" applyBorder="1" applyAlignment="1">
      <alignment horizontal="right"/>
    </xf>
    <xf numFmtId="165" fontId="4" fillId="0" borderId="20" xfId="2" applyNumberFormat="1" applyFont="1" applyBorder="1" applyAlignment="1">
      <alignment horizontal="right"/>
    </xf>
    <xf numFmtId="165" fontId="4" fillId="0" borderId="19" xfId="2" applyNumberFormat="1" applyFont="1" applyBorder="1"/>
    <xf numFmtId="0" fontId="3" fillId="0" borderId="16" xfId="2" applyNumberFormat="1" applyFont="1" applyBorder="1"/>
    <xf numFmtId="165" fontId="3" fillId="0" borderId="15" xfId="2" applyNumberFormat="1" applyFont="1" applyBorder="1" applyAlignment="1">
      <alignment horizontal="right"/>
    </xf>
    <xf numFmtId="165" fontId="3" fillId="0" borderId="16" xfId="2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0" fillId="0" borderId="0" xfId="0"/>
    <xf numFmtId="0" fontId="0" fillId="0" borderId="5" xfId="0" applyFont="1" applyBorder="1" applyAlignment="1">
      <alignment horizontal="left"/>
    </xf>
    <xf numFmtId="0" fontId="0" fillId="0" borderId="10" xfId="0" applyBorder="1"/>
    <xf numFmtId="0" fontId="0" fillId="2" borderId="5" xfId="0" applyFont="1" applyFill="1" applyBorder="1"/>
    <xf numFmtId="167" fontId="0" fillId="2" borderId="8" xfId="0" applyNumberFormat="1" applyFill="1" applyBorder="1"/>
    <xf numFmtId="0" fontId="8" fillId="2" borderId="12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167" fontId="0" fillId="2" borderId="13" xfId="0" applyNumberFormat="1" applyFill="1" applyBorder="1"/>
    <xf numFmtId="167" fontId="0" fillId="2" borderId="23" xfId="0" applyNumberFormat="1" applyFill="1" applyBorder="1"/>
    <xf numFmtId="167" fontId="0" fillId="2" borderId="14" xfId="0" applyNumberFormat="1" applyFill="1" applyBorder="1"/>
    <xf numFmtId="14" fontId="3" fillId="0" borderId="24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15" xfId="0" applyFont="1" applyBorder="1"/>
    <xf numFmtId="0" fontId="0" fillId="0" borderId="0" xfId="0" applyFont="1"/>
    <xf numFmtId="0" fontId="12" fillId="0" borderId="19" xfId="0" applyFont="1" applyBorder="1"/>
    <xf numFmtId="168" fontId="0" fillId="0" borderId="0" xfId="0" applyNumberFormat="1" applyFont="1"/>
    <xf numFmtId="0" fontId="3" fillId="0" borderId="19" xfId="0" applyFont="1" applyBorder="1"/>
    <xf numFmtId="166" fontId="0" fillId="0" borderId="0" xfId="0" applyNumberFormat="1" applyFont="1"/>
    <xf numFmtId="170" fontId="0" fillId="0" borderId="0" xfId="0" applyNumberFormat="1" applyFont="1"/>
    <xf numFmtId="44" fontId="0" fillId="0" borderId="0" xfId="0" applyNumberFormat="1"/>
    <xf numFmtId="0" fontId="6" fillId="0" borderId="5" xfId="0" applyFont="1" applyBorder="1"/>
    <xf numFmtId="44" fontId="6" fillId="0" borderId="24" xfId="1" applyFont="1" applyBorder="1" applyAlignment="1" applyProtection="1">
      <alignment horizontal="center"/>
    </xf>
    <xf numFmtId="44" fontId="7" fillId="0" borderId="20" xfId="1" applyFont="1" applyBorder="1" applyAlignment="1" applyProtection="1">
      <alignment horizontal="center"/>
    </xf>
    <xf numFmtId="44" fontId="6" fillId="0" borderId="8" xfId="1" applyFont="1" applyBorder="1" applyAlignment="1" applyProtection="1">
      <alignment horizontal="center"/>
    </xf>
    <xf numFmtId="0" fontId="8" fillId="2" borderId="17" xfId="0" applyFont="1" applyFill="1" applyBorder="1" applyAlignment="1">
      <alignment horizontal="left"/>
    </xf>
    <xf numFmtId="167" fontId="0" fillId="2" borderId="26" xfId="0" applyNumberFormat="1" applyFill="1" applyBorder="1"/>
    <xf numFmtId="167" fontId="0" fillId="2" borderId="18" xfId="0" applyNumberFormat="1" applyFill="1" applyBorder="1"/>
    <xf numFmtId="44" fontId="0" fillId="0" borderId="27" xfId="1" applyFont="1" applyBorder="1" applyAlignment="1" applyProtection="1"/>
    <xf numFmtId="44" fontId="0" fillId="0" borderId="16" xfId="1" applyFont="1" applyBorder="1" applyAlignment="1" applyProtection="1"/>
    <xf numFmtId="0" fontId="0" fillId="2" borderId="17" xfId="0" applyFill="1" applyBorder="1"/>
    <xf numFmtId="14" fontId="3" fillId="0" borderId="16" xfId="0" applyNumberFormat="1" applyFont="1" applyBorder="1" applyAlignment="1">
      <alignment horizontal="center"/>
    </xf>
    <xf numFmtId="166" fontId="0" fillId="0" borderId="3" xfId="0" applyNumberFormat="1" applyFont="1" applyBorder="1"/>
    <xf numFmtId="166" fontId="0" fillId="0" borderId="29" xfId="0" applyNumberFormat="1" applyFont="1" applyBorder="1"/>
    <xf numFmtId="44" fontId="0" fillId="0" borderId="31" xfId="1" applyFont="1" applyBorder="1" applyAlignment="1" applyProtection="1"/>
    <xf numFmtId="0" fontId="0" fillId="0" borderId="0" xfId="0"/>
    <xf numFmtId="0" fontId="0" fillId="0" borderId="2" xfId="0" applyFont="1" applyBorder="1"/>
    <xf numFmtId="0" fontId="0" fillId="0" borderId="5" xfId="0" applyFont="1" applyBorder="1" applyAlignment="1"/>
    <xf numFmtId="0" fontId="0" fillId="0" borderId="30" xfId="0" applyFill="1" applyBorder="1" applyAlignment="1">
      <alignment horizontal="center"/>
    </xf>
    <xf numFmtId="0" fontId="0" fillId="0" borderId="3" xfId="0" applyFont="1" applyBorder="1"/>
    <xf numFmtId="0" fontId="0" fillId="2" borderId="29" xfId="0" applyFont="1" applyFill="1" applyBorder="1"/>
    <xf numFmtId="0" fontId="0" fillId="0" borderId="26" xfId="0" applyBorder="1"/>
    <xf numFmtId="44" fontId="6" fillId="0" borderId="31" xfId="1" applyFont="1" applyBorder="1" applyAlignment="1" applyProtection="1">
      <alignment horizontal="center"/>
    </xf>
    <xf numFmtId="0" fontId="0" fillId="0" borderId="30" xfId="0" applyFont="1" applyBorder="1" applyAlignment="1">
      <alignment horizontal="left"/>
    </xf>
    <xf numFmtId="44" fontId="0" fillId="0" borderId="15" xfId="1" applyFont="1" applyBorder="1" applyAlignment="1" applyProtection="1"/>
    <xf numFmtId="167" fontId="0" fillId="2" borderId="30" xfId="0" applyNumberFormat="1" applyFill="1" applyBorder="1"/>
    <xf numFmtId="0" fontId="0" fillId="0" borderId="32" xfId="0" applyFont="1" applyFill="1" applyBorder="1"/>
    <xf numFmtId="44" fontId="0" fillId="0" borderId="31" xfId="1" applyFont="1" applyBorder="1" applyAlignment="1" applyProtection="1">
      <alignment horizontal="left"/>
    </xf>
    <xf numFmtId="44" fontId="0" fillId="0" borderId="26" xfId="1" applyFont="1" applyBorder="1" applyAlignment="1" applyProtection="1"/>
    <xf numFmtId="44" fontId="0" fillId="0" borderId="18" xfId="1" applyFont="1" applyBorder="1" applyAlignment="1" applyProtection="1"/>
    <xf numFmtId="165" fontId="4" fillId="0" borderId="31" xfId="2" applyNumberFormat="1" applyFont="1" applyBorder="1"/>
    <xf numFmtId="165" fontId="4" fillId="0" borderId="30" xfId="2" applyNumberFormat="1" applyFont="1" applyBorder="1"/>
    <xf numFmtId="166" fontId="1" fillId="0" borderId="31" xfId="1" applyNumberFormat="1" applyBorder="1"/>
    <xf numFmtId="0" fontId="4" fillId="0" borderId="2" xfId="0" applyFont="1" applyBorder="1"/>
    <xf numFmtId="0" fontId="4" fillId="0" borderId="5" xfId="0" applyFont="1" applyBorder="1"/>
    <xf numFmtId="0" fontId="4" fillId="0" borderId="5" xfId="0" applyFont="1" applyFill="1" applyBorder="1"/>
    <xf numFmtId="166" fontId="9" fillId="0" borderId="28" xfId="0" applyNumberFormat="1" applyFont="1" applyBorder="1"/>
    <xf numFmtId="0" fontId="6" fillId="0" borderId="30" xfId="0" applyFont="1" applyBorder="1" applyAlignment="1">
      <alignment horizontal="center"/>
    </xf>
    <xf numFmtId="0" fontId="7" fillId="0" borderId="19" xfId="0" applyFont="1" applyBorder="1"/>
    <xf numFmtId="0" fontId="6" fillId="0" borderId="1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/>
    <xf numFmtId="0" fontId="0" fillId="0" borderId="30" xfId="0" applyBorder="1" applyAlignment="1">
      <alignment horizontal="left" indent="3"/>
    </xf>
    <xf numFmtId="0" fontId="0" fillId="0" borderId="30" xfId="0" applyBorder="1"/>
    <xf numFmtId="0" fontId="0" fillId="0" borderId="30" xfId="0" applyBorder="1" applyAlignment="1">
      <alignment horizontal="left"/>
    </xf>
    <xf numFmtId="0" fontId="0" fillId="0" borderId="15" xfId="0" applyBorder="1"/>
    <xf numFmtId="0" fontId="0" fillId="2" borderId="30" xfId="0" applyFill="1" applyBorder="1"/>
    <xf numFmtId="167" fontId="4" fillId="2" borderId="0" xfId="0" applyNumberFormat="1" applyFont="1" applyFill="1" applyBorder="1"/>
    <xf numFmtId="167" fontId="0" fillId="2" borderId="31" xfId="0" applyNumberFormat="1" applyFill="1" applyBorder="1"/>
    <xf numFmtId="167" fontId="0" fillId="2" borderId="0" xfId="0" applyNumberFormat="1" applyFill="1" applyBorder="1"/>
    <xf numFmtId="0" fontId="0" fillId="0" borderId="31" xfId="0" applyBorder="1"/>
    <xf numFmtId="0" fontId="8" fillId="2" borderId="19" xfId="0" applyFont="1" applyFill="1" applyBorder="1" applyAlignment="1">
      <alignment horizontal="left"/>
    </xf>
    <xf numFmtId="167" fontId="0" fillId="2" borderId="24" xfId="0" applyNumberFormat="1" applyFill="1" applyBorder="1"/>
    <xf numFmtId="167" fontId="0" fillId="2" borderId="20" xfId="0" applyNumberFormat="1" applyFill="1" applyBorder="1"/>
    <xf numFmtId="0" fontId="0" fillId="0" borderId="15" xfId="0" applyFont="1" applyBorder="1"/>
    <xf numFmtId="0" fontId="6" fillId="0" borderId="30" xfId="0" applyFont="1" applyBorder="1"/>
    <xf numFmtId="0" fontId="0" fillId="0" borderId="30" xfId="0" applyFont="1" applyBorder="1" applyAlignment="1"/>
    <xf numFmtId="0" fontId="0" fillId="0" borderId="10" xfId="0" applyFont="1" applyBorder="1"/>
    <xf numFmtId="0" fontId="0" fillId="2" borderId="30" xfId="0" applyFont="1" applyFill="1" applyBorder="1"/>
    <xf numFmtId="0" fontId="8" fillId="2" borderId="33" xfId="0" applyFont="1" applyFill="1" applyBorder="1" applyAlignment="1">
      <alignment horizontal="left"/>
    </xf>
    <xf numFmtId="44" fontId="0" fillId="0" borderId="0" xfId="1" applyFont="1" applyFill="1" applyBorder="1" applyAlignment="1" applyProtection="1"/>
    <xf numFmtId="0" fontId="9" fillId="0" borderId="37" xfId="0" applyFont="1" applyBorder="1" applyAlignment="1">
      <alignment horizontal="center"/>
    </xf>
    <xf numFmtId="171" fontId="9" fillId="0" borderId="0" xfId="0" applyNumberFormat="1" applyFont="1" applyAlignment="1">
      <alignment horizontal="center"/>
    </xf>
    <xf numFmtId="171" fontId="9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8" fillId="0" borderId="44" xfId="0" applyFont="1" applyBorder="1" applyAlignment="1"/>
    <xf numFmtId="0" fontId="19" fillId="0" borderId="46" xfId="0" applyFont="1" applyBorder="1" applyAlignment="1"/>
    <xf numFmtId="0" fontId="19" fillId="0" borderId="37" xfId="0" applyFont="1" applyBorder="1" applyAlignment="1">
      <alignment horizontal="center"/>
    </xf>
    <xf numFmtId="171" fontId="19" fillId="0" borderId="0" xfId="0" applyNumberFormat="1" applyFont="1" applyAlignment="1">
      <alignment horizontal="center"/>
    </xf>
    <xf numFmtId="171" fontId="19" fillId="0" borderId="38" xfId="0" applyNumberFormat="1" applyFont="1" applyBorder="1" applyAlignment="1">
      <alignment horizontal="center"/>
    </xf>
    <xf numFmtId="171" fontId="19" fillId="0" borderId="47" xfId="0" applyNumberFormat="1" applyFont="1" applyBorder="1" applyAlignment="1">
      <alignment horizontal="center"/>
    </xf>
    <xf numFmtId="0" fontId="18" fillId="0" borderId="39" xfId="0" applyFont="1" applyBorder="1" applyAlignment="1"/>
    <xf numFmtId="0" fontId="19" fillId="0" borderId="39" xfId="0" applyFont="1" applyBorder="1" applyAlignment="1">
      <alignment horizontal="center"/>
    </xf>
    <xf numFmtId="171" fontId="18" fillId="0" borderId="40" xfId="0" applyNumberFormat="1" applyFont="1" applyBorder="1" applyAlignment="1"/>
    <xf numFmtId="171" fontId="18" fillId="0" borderId="41" xfId="0" applyNumberFormat="1" applyFont="1" applyBorder="1" applyAlignment="1">
      <alignment horizontal="center"/>
    </xf>
    <xf numFmtId="171" fontId="19" fillId="0" borderId="40" xfId="0" applyNumberFormat="1" applyFont="1" applyBorder="1" applyAlignment="1">
      <alignment horizontal="center"/>
    </xf>
    <xf numFmtId="0" fontId="18" fillId="0" borderId="46" xfId="0" applyFont="1" applyBorder="1" applyAlignment="1"/>
    <xf numFmtId="0" fontId="17" fillId="0" borderId="37" xfId="0" applyFont="1" applyBorder="1" applyAlignment="1">
      <alignment horizontal="center"/>
    </xf>
    <xf numFmtId="0" fontId="17" fillId="0" borderId="0" xfId="0" applyFont="1" applyAlignment="1"/>
    <xf numFmtId="171" fontId="18" fillId="0" borderId="38" xfId="0" applyNumberFormat="1" applyFont="1" applyBorder="1" applyAlignment="1"/>
    <xf numFmtId="1" fontId="18" fillId="0" borderId="0" xfId="0" applyNumberFormat="1" applyFont="1" applyAlignment="1">
      <alignment horizontal="center"/>
    </xf>
    <xf numFmtId="171" fontId="18" fillId="0" borderId="0" xfId="0" applyNumberFormat="1" applyFont="1" applyAlignment="1"/>
    <xf numFmtId="171" fontId="18" fillId="0" borderId="47" xfId="0" applyNumberFormat="1" applyFont="1" applyBorder="1" applyAlignment="1"/>
    <xf numFmtId="0" fontId="17" fillId="0" borderId="37" xfId="0" applyFont="1" applyBorder="1" applyAlignment="1">
      <alignment horizontal="left"/>
    </xf>
    <xf numFmtId="0" fontId="17" fillId="0" borderId="37" xfId="0" applyFont="1" applyBorder="1" applyAlignment="1"/>
    <xf numFmtId="0" fontId="17" fillId="0" borderId="34" xfId="0" applyFont="1" applyBorder="1" applyAlignment="1"/>
    <xf numFmtId="171" fontId="18" fillId="0" borderId="35" xfId="0" applyNumberFormat="1" applyFont="1" applyBorder="1" applyAlignment="1"/>
    <xf numFmtId="171" fontId="18" fillId="0" borderId="36" xfId="0" applyNumberFormat="1" applyFont="1" applyBorder="1" applyAlignment="1"/>
    <xf numFmtId="0" fontId="18" fillId="3" borderId="46" xfId="0" applyFont="1" applyFill="1" applyBorder="1" applyAlignment="1"/>
    <xf numFmtId="0" fontId="17" fillId="3" borderId="37" xfId="0" applyFont="1" applyFill="1" applyBorder="1" applyAlignment="1"/>
    <xf numFmtId="165" fontId="20" fillId="3" borderId="0" xfId="0" applyNumberFormat="1" applyFont="1" applyFill="1" applyBorder="1" applyAlignment="1"/>
    <xf numFmtId="165" fontId="17" fillId="3" borderId="38" xfId="0" applyNumberFormat="1" applyFont="1" applyFill="1" applyBorder="1" applyAlignment="1"/>
    <xf numFmtId="165" fontId="17" fillId="3" borderId="24" xfId="0" applyNumberFormat="1" applyFont="1" applyFill="1" applyBorder="1" applyAlignment="1"/>
    <xf numFmtId="169" fontId="0" fillId="0" borderId="27" xfId="0" applyNumberFormat="1" applyFont="1" applyBorder="1"/>
    <xf numFmtId="169" fontId="0" fillId="0" borderId="3" xfId="0" applyNumberFormat="1" applyFont="1" applyBorder="1"/>
    <xf numFmtId="0" fontId="4" fillId="0" borderId="30" xfId="0" applyFont="1" applyBorder="1"/>
    <xf numFmtId="169" fontId="0" fillId="0" borderId="0" xfId="0" applyNumberFormat="1" applyFont="1" applyBorder="1"/>
    <xf numFmtId="169" fontId="0" fillId="0" borderId="29" xfId="0" applyNumberFormat="1" applyFont="1" applyBorder="1"/>
    <xf numFmtId="0" fontId="11" fillId="0" borderId="30" xfId="0" applyFont="1" applyBorder="1"/>
    <xf numFmtId="168" fontId="0" fillId="0" borderId="29" xfId="0" applyNumberFormat="1" applyFont="1" applyBorder="1"/>
    <xf numFmtId="168" fontId="9" fillId="0" borderId="24" xfId="0" applyNumberFormat="1" applyFont="1" applyBorder="1"/>
    <xf numFmtId="165" fontId="4" fillId="0" borderId="30" xfId="2" applyNumberFormat="1" applyFont="1" applyFill="1" applyBorder="1"/>
    <xf numFmtId="166" fontId="1" fillId="0" borderId="31" xfId="1" applyNumberFormat="1" applyFill="1" applyBorder="1"/>
    <xf numFmtId="168" fontId="7" fillId="0" borderId="29" xfId="0" applyNumberFormat="1" applyFont="1" applyBorder="1"/>
    <xf numFmtId="168" fontId="13" fillId="0" borderId="28" xfId="0" applyNumberFormat="1" applyFont="1" applyBorder="1"/>
    <xf numFmtId="0" fontId="17" fillId="0" borderId="50" xfId="0" applyFont="1" applyBorder="1" applyAlignment="1"/>
    <xf numFmtId="0" fontId="19" fillId="0" borderId="51" xfId="0" applyFont="1" applyBorder="1" applyAlignment="1"/>
    <xf numFmtId="0" fontId="19" fillId="0" borderId="48" xfId="0" applyFont="1" applyBorder="1" applyAlignment="1">
      <alignment horizontal="center"/>
    </xf>
    <xf numFmtId="171" fontId="19" fillId="0" borderId="48" xfId="0" applyNumberFormat="1" applyFont="1" applyBorder="1" applyAlignment="1">
      <alignment horizontal="center"/>
    </xf>
    <xf numFmtId="171" fontId="19" fillId="0" borderId="49" xfId="0" applyNumberFormat="1" applyFont="1" applyBorder="1" applyAlignment="1">
      <alignment horizontal="center"/>
    </xf>
    <xf numFmtId="171" fontId="19" fillId="0" borderId="52" xfId="0" applyNumberFormat="1" applyFont="1" applyBorder="1" applyAlignment="1">
      <alignment horizontal="center"/>
    </xf>
    <xf numFmtId="0" fontId="18" fillId="0" borderId="53" xfId="0" applyFont="1" applyBorder="1" applyAlignment="1"/>
    <xf numFmtId="0" fontId="17" fillId="0" borderId="48" xfId="0" applyFont="1" applyBorder="1" applyAlignment="1"/>
    <xf numFmtId="171" fontId="17" fillId="0" borderId="48" xfId="0" applyNumberFormat="1" applyFont="1" applyBorder="1" applyAlignment="1"/>
    <xf numFmtId="171" fontId="17" fillId="0" borderId="49" xfId="0" applyNumberFormat="1" applyFont="1" applyBorder="1" applyAlignment="1"/>
    <xf numFmtId="171" fontId="17" fillId="0" borderId="0" xfId="0" applyNumberFormat="1" applyFont="1" applyAlignment="1"/>
    <xf numFmtId="171" fontId="18" fillId="0" borderId="38" xfId="0" applyNumberFormat="1" applyFont="1" applyBorder="1" applyAlignment="1">
      <alignment horizontal="right"/>
    </xf>
    <xf numFmtId="1" fontId="17" fillId="0" borderId="0" xfId="0" applyNumberFormat="1" applyFont="1" applyAlignment="1"/>
    <xf numFmtId="171" fontId="18" fillId="0" borderId="0" xfId="0" applyNumberFormat="1" applyFont="1" applyAlignment="1">
      <alignment horizontal="right"/>
    </xf>
    <xf numFmtId="171" fontId="17" fillId="0" borderId="47" xfId="0" applyNumberFormat="1" applyFont="1" applyBorder="1" applyAlignment="1"/>
    <xf numFmtId="171" fontId="18" fillId="0" borderId="27" xfId="0" applyNumberFormat="1" applyFont="1" applyBorder="1" applyAlignment="1">
      <alignment horizontal="right"/>
    </xf>
    <xf numFmtId="0" fontId="17" fillId="0" borderId="15" xfId="0" applyFont="1" applyBorder="1" applyAlignment="1"/>
    <xf numFmtId="171" fontId="18" fillId="0" borderId="16" xfId="0" applyNumberFormat="1" applyFont="1" applyBorder="1" applyAlignment="1">
      <alignment horizontal="right"/>
    </xf>
    <xf numFmtId="44" fontId="20" fillId="3" borderId="0" xfId="0" applyNumberFormat="1" applyFont="1" applyFill="1" applyBorder="1" applyAlignment="1">
      <alignment horizontal="left"/>
    </xf>
    <xf numFmtId="0" fontId="17" fillId="3" borderId="30" xfId="0" applyFont="1" applyFill="1" applyBorder="1" applyAlignment="1"/>
    <xf numFmtId="44" fontId="20" fillId="3" borderId="0" xfId="0" applyNumberFormat="1" applyFont="1" applyFill="1" applyBorder="1" applyAlignment="1">
      <alignment horizontal="right"/>
    </xf>
    <xf numFmtId="165" fontId="17" fillId="3" borderId="31" xfId="0" applyNumberFormat="1" applyFont="1" applyFill="1" applyBorder="1" applyAlignment="1"/>
    <xf numFmtId="0" fontId="17" fillId="3" borderId="17" xfId="0" applyFont="1" applyFill="1" applyBorder="1" applyAlignment="1"/>
    <xf numFmtId="0" fontId="0" fillId="0" borderId="26" xfId="0" applyFont="1" applyBorder="1" applyAlignment="1"/>
    <xf numFmtId="44" fontId="17" fillId="3" borderId="18" xfId="0" applyNumberFormat="1" applyFont="1" applyFill="1" applyBorder="1" applyAlignment="1">
      <alignment horizontal="right"/>
    </xf>
    <xf numFmtId="0" fontId="21" fillId="3" borderId="54" xfId="0" applyFont="1" applyFill="1" applyBorder="1" applyAlignment="1"/>
    <xf numFmtId="0" fontId="17" fillId="3" borderId="48" xfId="0" applyFont="1" applyFill="1" applyBorder="1" applyAlignment="1"/>
    <xf numFmtId="44" fontId="17" fillId="3" borderId="48" xfId="0" applyNumberFormat="1" applyFont="1" applyFill="1" applyBorder="1" applyAlignment="1">
      <alignment horizontal="right"/>
    </xf>
    <xf numFmtId="44" fontId="17" fillId="3" borderId="49" xfId="0" applyNumberFormat="1" applyFont="1" applyFill="1" applyBorder="1" applyAlignment="1">
      <alignment horizontal="right"/>
    </xf>
    <xf numFmtId="44" fontId="17" fillId="3" borderId="43" xfId="0" applyNumberFormat="1" applyFont="1" applyFill="1" applyBorder="1" applyAlignment="1"/>
    <xf numFmtId="44" fontId="17" fillId="3" borderId="55" xfId="0" applyNumberFormat="1" applyFont="1" applyFill="1" applyBorder="1" applyAlignment="1"/>
    <xf numFmtId="166" fontId="6" fillId="0" borderId="24" xfId="1" applyNumberFormat="1" applyFont="1" applyBorder="1" applyAlignment="1" applyProtection="1">
      <alignment horizontal="center"/>
    </xf>
    <xf numFmtId="166" fontId="0" fillId="0" borderId="24" xfId="0" applyNumberFormat="1" applyBorder="1"/>
    <xf numFmtId="44" fontId="6" fillId="0" borderId="56" xfId="1" applyFont="1" applyBorder="1" applyAlignment="1" applyProtection="1">
      <alignment horizontal="center"/>
    </xf>
    <xf numFmtId="166" fontId="0" fillId="0" borderId="20" xfId="0" applyNumberFormat="1" applyBorder="1"/>
    <xf numFmtId="166" fontId="0" fillId="0" borderId="0" xfId="1" applyNumberFormat="1" applyFont="1" applyBorder="1" applyAlignment="1" applyProtection="1"/>
    <xf numFmtId="1" fontId="0" fillId="0" borderId="57" xfId="1" applyNumberFormat="1" applyFont="1" applyBorder="1" applyAlignment="1" applyProtection="1">
      <alignment horizontal="center"/>
    </xf>
    <xf numFmtId="166" fontId="0" fillId="0" borderId="31" xfId="1" applyNumberFormat="1" applyFont="1" applyBorder="1" applyAlignment="1" applyProtection="1"/>
    <xf numFmtId="44" fontId="0" fillId="0" borderId="57" xfId="1" applyFont="1" applyBorder="1" applyAlignment="1" applyProtection="1"/>
    <xf numFmtId="166" fontId="4" fillId="2" borderId="0" xfId="0" applyNumberFormat="1" applyFont="1" applyFill="1" applyBorder="1"/>
    <xf numFmtId="166" fontId="0" fillId="2" borderId="31" xfId="0" applyNumberFormat="1" applyFill="1" applyBorder="1"/>
    <xf numFmtId="166" fontId="0" fillId="2" borderId="0" xfId="0" applyNumberFormat="1" applyFill="1" applyBorder="1"/>
    <xf numFmtId="166" fontId="0" fillId="2" borderId="26" xfId="0" applyNumberFormat="1" applyFill="1" applyBorder="1"/>
    <xf numFmtId="166" fontId="0" fillId="2" borderId="18" xfId="0" applyNumberFormat="1" applyFill="1" applyBorder="1"/>
    <xf numFmtId="166" fontId="0" fillId="0" borderId="27" xfId="1" applyNumberFormat="1" applyFont="1" applyBorder="1" applyAlignment="1" applyProtection="1"/>
    <xf numFmtId="166" fontId="0" fillId="0" borderId="16" xfId="1" applyNumberFormat="1" applyFont="1" applyBorder="1" applyAlignment="1" applyProtection="1"/>
    <xf numFmtId="0" fontId="0" fillId="2" borderId="17" xfId="0" applyFont="1" applyFill="1" applyBorder="1"/>
    <xf numFmtId="166" fontId="4" fillId="2" borderId="26" xfId="0" applyNumberFormat="1" applyFont="1" applyFill="1" applyBorder="1"/>
    <xf numFmtId="0" fontId="0" fillId="2" borderId="0" xfId="0" applyFont="1" applyFill="1" applyBorder="1"/>
    <xf numFmtId="167" fontId="0" fillId="2" borderId="17" xfId="0" applyNumberFormat="1" applyFill="1" applyBorder="1"/>
    <xf numFmtId="0" fontId="18" fillId="3" borderId="30" xfId="0" applyFont="1" applyFill="1" applyBorder="1" applyAlignment="1"/>
    <xf numFmtId="0" fontId="18" fillId="3" borderId="17" xfId="0" applyFont="1" applyFill="1" applyBorder="1" applyAlignment="1"/>
    <xf numFmtId="44" fontId="17" fillId="3" borderId="18" xfId="0" applyNumberFormat="1" applyFont="1" applyFill="1" applyBorder="1" applyAlignment="1">
      <alignment horizontal="left"/>
    </xf>
    <xf numFmtId="0" fontId="0" fillId="0" borderId="19" xfId="0" applyFont="1" applyBorder="1"/>
    <xf numFmtId="44" fontId="0" fillId="0" borderId="24" xfId="1" applyFont="1" applyBorder="1" applyAlignment="1" applyProtection="1"/>
    <xf numFmtId="44" fontId="0" fillId="0" borderId="20" xfId="1" applyFont="1" applyBorder="1" applyAlignment="1" applyProtection="1">
      <alignment horizontal="center"/>
    </xf>
    <xf numFmtId="0" fontId="0" fillId="0" borderId="30" xfId="0" applyBorder="1" applyAlignment="1">
      <alignment horizontal="left" indent="4"/>
    </xf>
    <xf numFmtId="172" fontId="0" fillId="0" borderId="0" xfId="1" applyNumberFormat="1" applyFont="1" applyBorder="1" applyAlignment="1" applyProtection="1"/>
    <xf numFmtId="0" fontId="8" fillId="2" borderId="0" xfId="0" applyFont="1" applyFill="1" applyBorder="1" applyAlignment="1">
      <alignment horizontal="left"/>
    </xf>
    <xf numFmtId="0" fontId="0" fillId="0" borderId="30" xfId="0" applyBorder="1" applyAlignment="1">
      <alignment horizontal="left" indent="12"/>
    </xf>
    <xf numFmtId="44" fontId="0" fillId="0" borderId="0" xfId="1" applyNumberFormat="1" applyFont="1" applyBorder="1" applyAlignment="1" applyProtection="1"/>
    <xf numFmtId="0" fontId="7" fillId="0" borderId="44" xfId="0" applyFont="1" applyBorder="1" applyAlignment="1"/>
    <xf numFmtId="0" fontId="9" fillId="0" borderId="46" xfId="0" applyFont="1" applyBorder="1" applyAlignment="1"/>
    <xf numFmtId="171" fontId="9" fillId="0" borderId="47" xfId="0" applyNumberFormat="1" applyFont="1" applyBorder="1" applyAlignment="1">
      <alignment horizontal="center"/>
    </xf>
    <xf numFmtId="0" fontId="7" fillId="0" borderId="39" xfId="0" applyFont="1" applyBorder="1" applyAlignment="1"/>
    <xf numFmtId="171" fontId="7" fillId="0" borderId="40" xfId="0" applyNumberFormat="1" applyFont="1" applyBorder="1" applyAlignment="1"/>
    <xf numFmtId="171" fontId="7" fillId="0" borderId="41" xfId="0" applyNumberFormat="1" applyFont="1" applyBorder="1" applyAlignment="1">
      <alignment horizontal="center"/>
    </xf>
    <xf numFmtId="171" fontId="9" fillId="0" borderId="35" xfId="0" applyNumberFormat="1" applyFont="1" applyBorder="1" applyAlignment="1">
      <alignment horizontal="center"/>
    </xf>
    <xf numFmtId="171" fontId="7" fillId="0" borderId="36" xfId="0" applyNumberFormat="1" applyFont="1" applyBorder="1" applyAlignment="1">
      <alignment horizontal="center"/>
    </xf>
    <xf numFmtId="0" fontId="7" fillId="0" borderId="46" xfId="0" applyFont="1" applyBorder="1" applyAlignment="1"/>
    <xf numFmtId="0" fontId="10" fillId="0" borderId="37" xfId="0" applyFont="1" applyBorder="1" applyAlignment="1">
      <alignment horizontal="center"/>
    </xf>
    <xf numFmtId="0" fontId="10" fillId="0" borderId="0" xfId="0" applyFont="1" applyAlignment="1"/>
    <xf numFmtId="171" fontId="7" fillId="0" borderId="0" xfId="0" applyNumberFormat="1" applyFont="1" applyBorder="1" applyAlignment="1"/>
    <xf numFmtId="1" fontId="7" fillId="0" borderId="15" xfId="0" applyNumberFormat="1" applyFont="1" applyBorder="1" applyAlignment="1">
      <alignment horizontal="center"/>
    </xf>
    <xf numFmtId="171" fontId="7" fillId="0" borderId="27" xfId="0" applyNumberFormat="1" applyFont="1" applyBorder="1" applyAlignment="1"/>
    <xf numFmtId="171" fontId="7" fillId="0" borderId="16" xfId="0" applyNumberFormat="1" applyFont="1" applyBorder="1" applyAlignment="1"/>
    <xf numFmtId="1" fontId="7" fillId="0" borderId="30" xfId="0" applyNumberFormat="1" applyFont="1" applyBorder="1" applyAlignment="1">
      <alignment horizontal="center"/>
    </xf>
    <xf numFmtId="171" fontId="7" fillId="0" borderId="31" xfId="0" applyNumberFormat="1" applyFont="1" applyBorder="1" applyAlignment="1"/>
    <xf numFmtId="0" fontId="10" fillId="0" borderId="37" xfId="0" applyFont="1" applyBorder="1" applyAlignment="1">
      <alignment horizontal="left"/>
    </xf>
    <xf numFmtId="171" fontId="7" fillId="0" borderId="0" xfId="0" applyNumberFormat="1" applyFont="1" applyAlignment="1">
      <alignment horizontal="right"/>
    </xf>
    <xf numFmtId="171" fontId="7" fillId="0" borderId="0" xfId="0" applyNumberFormat="1" applyFont="1" applyBorder="1" applyAlignment="1">
      <alignment horizontal="right"/>
    </xf>
    <xf numFmtId="0" fontId="10" fillId="0" borderId="37" xfId="0" applyFont="1" applyBorder="1" applyAlignment="1"/>
    <xf numFmtId="171" fontId="7" fillId="0" borderId="0" xfId="0" applyNumberFormat="1" applyFont="1" applyAlignment="1"/>
    <xf numFmtId="171" fontId="7" fillId="0" borderId="30" xfId="0" applyNumberFormat="1" applyFont="1" applyBorder="1" applyAlignment="1"/>
    <xf numFmtId="0" fontId="7" fillId="0" borderId="15" xfId="0" applyFont="1" applyBorder="1" applyAlignment="1"/>
    <xf numFmtId="0" fontId="10" fillId="0" borderId="58" xfId="0" applyFont="1" applyBorder="1" applyAlignment="1"/>
    <xf numFmtId="171" fontId="7" fillId="0" borderId="59" xfId="0" applyNumberFormat="1" applyFont="1" applyBorder="1" applyAlignment="1"/>
    <xf numFmtId="0" fontId="7" fillId="3" borderId="30" xfId="0" applyFont="1" applyFill="1" applyBorder="1" applyAlignment="1"/>
    <xf numFmtId="0" fontId="10" fillId="3" borderId="37" xfId="0" applyFont="1" applyFill="1" applyBorder="1" applyAlignment="1"/>
    <xf numFmtId="165" fontId="11" fillId="3" borderId="0" xfId="0" applyNumberFormat="1" applyFont="1" applyFill="1" applyBorder="1" applyAlignment="1"/>
    <xf numFmtId="165" fontId="10" fillId="3" borderId="38" xfId="0" applyNumberFormat="1" applyFont="1" applyFill="1" applyBorder="1" applyAlignment="1"/>
    <xf numFmtId="165" fontId="10" fillId="3" borderId="0" xfId="0" applyNumberFormat="1" applyFont="1" applyFill="1" applyBorder="1" applyAlignment="1"/>
    <xf numFmtId="165" fontId="10" fillId="3" borderId="31" xfId="0" applyNumberFormat="1" applyFont="1" applyFill="1" applyBorder="1" applyAlignment="1"/>
    <xf numFmtId="0" fontId="7" fillId="3" borderId="17" xfId="0" applyFont="1" applyFill="1" applyBorder="1" applyAlignment="1"/>
    <xf numFmtId="0" fontId="10" fillId="3" borderId="60" xfId="0" applyFont="1" applyFill="1" applyBorder="1" applyAlignment="1"/>
    <xf numFmtId="165" fontId="10" fillId="3" borderId="26" xfId="0" applyNumberFormat="1" applyFont="1" applyFill="1" applyBorder="1" applyAlignment="1"/>
    <xf numFmtId="0" fontId="10" fillId="0" borderId="61" xfId="0" applyFont="1" applyBorder="1" applyAlignment="1"/>
    <xf numFmtId="165" fontId="10" fillId="3" borderId="18" xfId="0" applyNumberFormat="1" applyFont="1" applyFill="1" applyBorder="1" applyAlignment="1"/>
    <xf numFmtId="0" fontId="15" fillId="3" borderId="19" xfId="0" applyFont="1" applyFill="1" applyBorder="1" applyAlignment="1">
      <alignment horizontal="left"/>
    </xf>
    <xf numFmtId="0" fontId="15" fillId="3" borderId="62" xfId="0" applyFont="1" applyFill="1" applyBorder="1" applyAlignment="1">
      <alignment horizontal="left"/>
    </xf>
    <xf numFmtId="165" fontId="10" fillId="3" borderId="24" xfId="0" applyNumberFormat="1" applyFont="1" applyFill="1" applyBorder="1" applyAlignment="1"/>
    <xf numFmtId="165" fontId="10" fillId="3" borderId="63" xfId="0" applyNumberFormat="1" applyFont="1" applyFill="1" applyBorder="1" applyAlignment="1"/>
    <xf numFmtId="165" fontId="10" fillId="3" borderId="20" xfId="0" applyNumberFormat="1" applyFont="1" applyFill="1" applyBorder="1" applyAlignment="1"/>
    <xf numFmtId="0" fontId="18" fillId="3" borderId="19" xfId="0" applyFont="1" applyFill="1" applyBorder="1" applyAlignment="1"/>
    <xf numFmtId="0" fontId="17" fillId="3" borderId="62" xfId="0" applyFont="1" applyFill="1" applyBorder="1" applyAlignment="1"/>
    <xf numFmtId="0" fontId="17" fillId="0" borderId="63" xfId="0" applyFont="1" applyBorder="1" applyAlignment="1"/>
    <xf numFmtId="0" fontId="17" fillId="0" borderId="20" xfId="0" applyFont="1" applyBorder="1" applyAlignment="1"/>
    <xf numFmtId="0" fontId="23" fillId="0" borderId="30" xfId="0" applyFont="1" applyBorder="1"/>
    <xf numFmtId="0" fontId="23" fillId="0" borderId="30" xfId="0" applyFont="1" applyBorder="1" applyAlignment="1">
      <alignment horizontal="center"/>
    </xf>
    <xf numFmtId="44" fontId="23" fillId="0" borderId="0" xfId="1" applyFont="1" applyBorder="1" applyAlignment="1" applyProtection="1">
      <alignment horizontal="center"/>
    </xf>
    <xf numFmtId="44" fontId="23" fillId="0" borderId="31" xfId="1" applyFont="1" applyBorder="1" applyAlignment="1" applyProtection="1">
      <alignment horizontal="center"/>
    </xf>
    <xf numFmtId="0" fontId="24" fillId="0" borderId="19" xfId="0" applyFont="1" applyBorder="1"/>
    <xf numFmtId="0" fontId="23" fillId="0" borderId="19" xfId="0" applyFont="1" applyBorder="1" applyAlignment="1">
      <alignment horizontal="center"/>
    </xf>
    <xf numFmtId="44" fontId="23" fillId="0" borderId="24" xfId="1" applyFont="1" applyBorder="1" applyAlignment="1" applyProtection="1">
      <alignment horizontal="center"/>
    </xf>
    <xf numFmtId="44" fontId="24" fillId="0" borderId="20" xfId="1" applyFont="1" applyBorder="1" applyAlignment="1" applyProtection="1">
      <alignment horizontal="center"/>
    </xf>
    <xf numFmtId="167" fontId="25" fillId="2" borderId="0" xfId="0" applyNumberFormat="1" applyFont="1" applyFill="1" applyBorder="1"/>
    <xf numFmtId="44" fontId="0" fillId="0" borderId="18" xfId="0" applyNumberFormat="1" applyBorder="1"/>
    <xf numFmtId="0" fontId="26" fillId="2" borderId="17" xfId="0" applyFont="1" applyFill="1" applyBorder="1" applyAlignment="1">
      <alignment horizontal="left"/>
    </xf>
    <xf numFmtId="44" fontId="6" fillId="0" borderId="30" xfId="1" applyFont="1" applyBorder="1" applyAlignment="1" applyProtection="1">
      <alignment horizontal="center"/>
    </xf>
    <xf numFmtId="0" fontId="7" fillId="0" borderId="65" xfId="0" applyFont="1" applyBorder="1"/>
    <xf numFmtId="0" fontId="6" fillId="0" borderId="66" xfId="0" applyFont="1" applyBorder="1" applyAlignment="1">
      <alignment horizontal="center"/>
    </xf>
    <xf numFmtId="44" fontId="6" fillId="0" borderId="67" xfId="1" applyFont="1" applyBorder="1" applyAlignment="1" applyProtection="1">
      <alignment horizontal="center"/>
    </xf>
    <xf numFmtId="44" fontId="7" fillId="0" borderId="68" xfId="1" applyFont="1" applyBorder="1" applyAlignment="1" applyProtection="1">
      <alignment horizontal="center"/>
    </xf>
    <xf numFmtId="0" fontId="0" fillId="0" borderId="30" xfId="0" applyFill="1" applyBorder="1" applyAlignment="1">
      <alignment horizontal="left" indent="3"/>
    </xf>
    <xf numFmtId="0" fontId="0" fillId="0" borderId="30" xfId="0" applyFill="1" applyBorder="1"/>
    <xf numFmtId="0" fontId="0" fillId="0" borderId="30" xfId="0" applyFill="1" applyBorder="1" applyAlignment="1">
      <alignment horizontal="left"/>
    </xf>
    <xf numFmtId="0" fontId="0" fillId="0" borderId="5" xfId="0" applyBorder="1" applyAlignment="1"/>
    <xf numFmtId="167" fontId="4" fillId="2" borderId="26" xfId="0" applyNumberFormat="1" applyFont="1" applyFill="1" applyBorder="1"/>
    <xf numFmtId="167" fontId="13" fillId="0" borderId="26" xfId="0" applyNumberFormat="1" applyFont="1" applyFill="1" applyBorder="1"/>
    <xf numFmtId="0" fontId="0" fillId="2" borderId="19" xfId="0" applyFont="1" applyFill="1" applyBorder="1"/>
    <xf numFmtId="0" fontId="0" fillId="2" borderId="19" xfId="0" applyFill="1" applyBorder="1"/>
    <xf numFmtId="167" fontId="4" fillId="2" borderId="24" xfId="0" applyNumberFormat="1" applyFont="1" applyFill="1" applyBorder="1"/>
    <xf numFmtId="167" fontId="13" fillId="0" borderId="24" xfId="0" applyNumberFormat="1" applyFont="1" applyFill="1" applyBorder="1"/>
    <xf numFmtId="0" fontId="6" fillId="0" borderId="69" xfId="0" applyFont="1" applyBorder="1"/>
    <xf numFmtId="0" fontId="6" fillId="0" borderId="70" xfId="0" applyFont="1" applyBorder="1" applyAlignment="1">
      <alignment horizontal="center"/>
    </xf>
    <xf numFmtId="44" fontId="6" fillId="0" borderId="1" xfId="1" applyFont="1" applyBorder="1" applyAlignment="1" applyProtection="1">
      <alignment horizontal="center"/>
    </xf>
    <xf numFmtId="44" fontId="6" fillId="0" borderId="71" xfId="1" applyFont="1" applyBorder="1" applyAlignment="1" applyProtection="1">
      <alignment horizontal="center"/>
    </xf>
    <xf numFmtId="44" fontId="6" fillId="0" borderId="72" xfId="1" applyFont="1" applyBorder="1" applyAlignment="1" applyProtection="1">
      <alignment horizontal="center"/>
    </xf>
    <xf numFmtId="0" fontId="7" fillId="0" borderId="5" xfId="0" applyFont="1" applyBorder="1"/>
    <xf numFmtId="44" fontId="7" fillId="0" borderId="31" xfId="1" applyFont="1" applyBorder="1" applyAlignment="1" applyProtection="1">
      <alignment horizontal="center"/>
    </xf>
    <xf numFmtId="44" fontId="7" fillId="0" borderId="8" xfId="1" applyFont="1" applyBorder="1" applyAlignment="1" applyProtection="1">
      <alignment horizontal="center"/>
    </xf>
    <xf numFmtId="44" fontId="6" fillId="0" borderId="27" xfId="1" applyFont="1" applyBorder="1" applyAlignment="1" applyProtection="1">
      <alignment horizontal="center"/>
    </xf>
    <xf numFmtId="0" fontId="6" fillId="0" borderId="15" xfId="0" applyFont="1" applyBorder="1" applyAlignment="1">
      <alignment horizontal="center"/>
    </xf>
    <xf numFmtId="44" fontId="7" fillId="0" borderId="27" xfId="1" applyFont="1" applyBorder="1" applyAlignment="1" applyProtection="1">
      <alignment horizontal="center"/>
    </xf>
    <xf numFmtId="0" fontId="6" fillId="0" borderId="34" xfId="0" applyFont="1" applyBorder="1" applyAlignment="1">
      <alignment horizontal="center"/>
    </xf>
    <xf numFmtId="44" fontId="6" fillId="0" borderId="35" xfId="1" applyFont="1" applyBorder="1" applyAlignment="1" applyProtection="1">
      <alignment horizontal="center"/>
    </xf>
    <xf numFmtId="44" fontId="7" fillId="0" borderId="36" xfId="1" applyFont="1" applyFill="1" applyBorder="1" applyAlignment="1" applyProtection="1">
      <alignment horizontal="center"/>
    </xf>
    <xf numFmtId="0" fontId="0" fillId="0" borderId="15" xfId="0" applyFont="1" applyBorder="1" applyAlignment="1"/>
    <xf numFmtId="0" fontId="0" fillId="0" borderId="15" xfId="0" applyBorder="1" applyAlignment="1">
      <alignment horizontal="center"/>
    </xf>
    <xf numFmtId="44" fontId="0" fillId="0" borderId="27" xfId="14" applyFont="1" applyBorder="1" applyAlignment="1" applyProtection="1"/>
    <xf numFmtId="44" fontId="0" fillId="0" borderId="16" xfId="14" applyFont="1" applyBorder="1" applyAlignment="1" applyProtection="1">
      <alignment horizontal="left"/>
    </xf>
    <xf numFmtId="0" fontId="0" fillId="0" borderId="15" xfId="0" applyFill="1" applyBorder="1" applyAlignment="1">
      <alignment horizontal="center"/>
    </xf>
    <xf numFmtId="44" fontId="28" fillId="0" borderId="27" xfId="1" applyFont="1" applyFill="1" applyBorder="1" applyAlignment="1" applyProtection="1"/>
    <xf numFmtId="44" fontId="28" fillId="0" borderId="16" xfId="1" applyFont="1" applyBorder="1" applyAlignment="1" applyProtection="1">
      <alignment horizontal="left"/>
    </xf>
    <xf numFmtId="44" fontId="0" fillId="0" borderId="0" xfId="14" applyFont="1" applyBorder="1" applyAlignment="1" applyProtection="1"/>
    <xf numFmtId="44" fontId="0" fillId="0" borderId="31" xfId="14" applyFont="1" applyBorder="1" applyAlignment="1" applyProtection="1">
      <alignment horizontal="left"/>
    </xf>
    <xf numFmtId="44" fontId="28" fillId="0" borderId="0" xfId="1" applyFont="1" applyFill="1" applyBorder="1" applyAlignment="1" applyProtection="1"/>
    <xf numFmtId="44" fontId="28" fillId="0" borderId="31" xfId="1" applyFont="1" applyBorder="1" applyAlignment="1" applyProtection="1">
      <alignment horizontal="left"/>
    </xf>
    <xf numFmtId="44" fontId="0" fillId="0" borderId="31" xfId="14" applyFont="1" applyBorder="1" applyAlignment="1" applyProtection="1"/>
    <xf numFmtId="44" fontId="28" fillId="0" borderId="31" xfId="1" applyFont="1" applyBorder="1" applyAlignment="1" applyProtection="1"/>
    <xf numFmtId="0" fontId="0" fillId="0" borderId="30" xfId="0" applyBorder="1" applyAlignment="1"/>
    <xf numFmtId="0" fontId="0" fillId="2" borderId="15" xfId="0" applyFill="1" applyBorder="1"/>
    <xf numFmtId="167" fontId="4" fillId="2" borderId="27" xfId="0" applyNumberFormat="1" applyFont="1" applyFill="1" applyBorder="1"/>
    <xf numFmtId="167" fontId="0" fillId="2" borderId="16" xfId="0" applyNumberFormat="1" applyFill="1" applyBorder="1"/>
    <xf numFmtId="0" fontId="29" fillId="2" borderId="30" xfId="0" applyFont="1" applyFill="1" applyBorder="1" applyAlignment="1">
      <alignment horizontal="left"/>
    </xf>
    <xf numFmtId="0" fontId="13" fillId="0" borderId="19" xfId="0" applyFont="1" applyFill="1" applyBorder="1"/>
    <xf numFmtId="0" fontId="0" fillId="0" borderId="24" xfId="0" applyBorder="1"/>
    <xf numFmtId="0" fontId="0" fillId="0" borderId="20" xfId="0" applyBorder="1"/>
    <xf numFmtId="0" fontId="4" fillId="0" borderId="0" xfId="0" applyFont="1" applyFill="1" applyBorder="1"/>
    <xf numFmtId="166" fontId="0" fillId="0" borderId="0" xfId="0" applyNumberFormat="1" applyFont="1" applyFill="1" applyBorder="1"/>
    <xf numFmtId="0" fontId="0" fillId="0" borderId="73" xfId="0" applyFont="1" applyBorder="1"/>
    <xf numFmtId="166" fontId="0" fillId="0" borderId="73" xfId="0" applyNumberFormat="1" applyFont="1" applyBorder="1"/>
    <xf numFmtId="0" fontId="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1" fontId="19" fillId="0" borderId="0" xfId="0" applyNumberFormat="1" applyFont="1" applyAlignment="1">
      <alignment horizontal="center"/>
    </xf>
    <xf numFmtId="0" fontId="0" fillId="0" borderId="0" xfId="0" applyFont="1" applyAlignment="1"/>
    <xf numFmtId="0" fontId="17" fillId="0" borderId="38" xfId="0" applyFont="1" applyBorder="1" applyAlignment="1"/>
    <xf numFmtId="0" fontId="17" fillId="0" borderId="47" xfId="0" applyFont="1" applyBorder="1" applyAlignment="1"/>
    <xf numFmtId="0" fontId="5" fillId="0" borderId="1" xfId="0" applyFont="1" applyBorder="1" applyAlignment="1">
      <alignment horizontal="center"/>
    </xf>
    <xf numFmtId="44" fontId="6" fillId="0" borderId="21" xfId="1" applyFont="1" applyBorder="1" applyAlignment="1" applyProtection="1">
      <alignment horizontal="center"/>
    </xf>
    <xf numFmtId="44" fontId="6" fillId="0" borderId="4" xfId="1" applyFont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7" fillId="0" borderId="43" xfId="0" applyFont="1" applyBorder="1" applyAlignment="1"/>
    <xf numFmtId="0" fontId="5" fillId="0" borderId="0" xfId="0" applyFont="1" applyBorder="1" applyAlignment="1">
      <alignment horizontal="center"/>
    </xf>
    <xf numFmtId="44" fontId="6" fillId="0" borderId="3" xfId="1" applyFont="1" applyBorder="1" applyAlignment="1" applyProtection="1">
      <alignment horizontal="center"/>
    </xf>
    <xf numFmtId="44" fontId="6" fillId="0" borderId="25" xfId="1" applyFont="1" applyBorder="1" applyAlignment="1" applyProtection="1">
      <alignment horizontal="center"/>
    </xf>
    <xf numFmtId="44" fontId="6" fillId="0" borderId="16" xfId="1" applyFont="1" applyBorder="1" applyAlignment="1" applyProtection="1">
      <alignment horizontal="center"/>
    </xf>
    <xf numFmtId="0" fontId="10" fillId="0" borderId="43" xfId="0" applyFont="1" applyBorder="1"/>
    <xf numFmtId="171" fontId="9" fillId="0" borderId="34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36" xfId="0" applyFont="1" applyBorder="1"/>
    <xf numFmtId="171" fontId="9" fillId="0" borderId="42" xfId="0" applyNumberFormat="1" applyFont="1" applyBorder="1" applyAlignment="1">
      <alignment horizontal="center"/>
    </xf>
    <xf numFmtId="0" fontId="10" fillId="0" borderId="42" xfId="0" applyFont="1" applyBorder="1"/>
    <xf numFmtId="0" fontId="10" fillId="0" borderId="45" xfId="0" applyFont="1" applyBorder="1"/>
    <xf numFmtId="0" fontId="16" fillId="0" borderId="0" xfId="0" applyFont="1" applyAlignment="1">
      <alignment horizontal="center"/>
    </xf>
    <xf numFmtId="0" fontId="17" fillId="0" borderId="43" xfId="0" applyFont="1" applyBorder="1"/>
    <xf numFmtId="171" fontId="19" fillId="0" borderId="34" xfId="0" applyNumberFormat="1" applyFont="1" applyBorder="1" applyAlignment="1">
      <alignment horizontal="center"/>
    </xf>
    <xf numFmtId="0" fontId="17" fillId="0" borderId="35" xfId="0" applyFont="1" applyBorder="1"/>
    <xf numFmtId="0" fontId="17" fillId="0" borderId="36" xfId="0" applyFont="1" applyBorder="1"/>
    <xf numFmtId="171" fontId="19" fillId="0" borderId="42" xfId="0" applyNumberFormat="1" applyFont="1" applyBorder="1" applyAlignment="1">
      <alignment horizontal="center"/>
    </xf>
    <xf numFmtId="0" fontId="17" fillId="0" borderId="42" xfId="0" applyFont="1" applyBorder="1"/>
    <xf numFmtId="0" fontId="17" fillId="0" borderId="45" xfId="0" applyFont="1" applyBorder="1"/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3" fillId="0" borderId="3" xfId="1" applyFont="1" applyBorder="1" applyAlignment="1" applyProtection="1">
      <alignment horizontal="center"/>
    </xf>
    <xf numFmtId="44" fontId="23" fillId="0" borderId="25" xfId="1" applyFont="1" applyBorder="1" applyAlignment="1" applyProtection="1">
      <alignment horizontal="center"/>
    </xf>
    <xf numFmtId="44" fontId="23" fillId="0" borderId="16" xfId="1" applyFont="1" applyBorder="1" applyAlignment="1" applyProtection="1">
      <alignment horizontal="center"/>
    </xf>
    <xf numFmtId="0" fontId="27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4" fontId="6" fillId="0" borderId="64" xfId="1" applyFont="1" applyBorder="1" applyAlignment="1" applyProtection="1">
      <alignment horizontal="center"/>
    </xf>
  </cellXfs>
  <cellStyles count="15">
    <cellStyle name="Standaard" xfId="0" builtinId="0"/>
    <cellStyle name="Standaard 2" xfId="5"/>
    <cellStyle name="Standaard 2 2" xfId="12"/>
    <cellStyle name="Standaard 3" xfId="6"/>
    <cellStyle name="Standaard 4" xfId="7"/>
    <cellStyle name="Standaard 5" xfId="4"/>
    <cellStyle name="TableStyleLight1" xfId="2"/>
    <cellStyle name="Valuta" xfId="1" builtinId="4"/>
    <cellStyle name="Valuta 2" xfId="3"/>
    <cellStyle name="Valuta 2 2" xfId="8"/>
    <cellStyle name="Valuta 2 3" xfId="11"/>
    <cellStyle name="Valuta 3" xfId="9"/>
    <cellStyle name="Valuta 4" xfId="10"/>
    <cellStyle name="Valuta 5" xfId="13"/>
    <cellStyle name="Valuta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sqref="A1:G3"/>
    </sheetView>
  </sheetViews>
  <sheetFormatPr defaultRowHeight="15" x14ac:dyDescent="0.25"/>
  <cols>
    <col min="1" max="1" width="52" bestFit="1" customWidth="1"/>
    <col min="2" max="2" width="13.28515625" customWidth="1"/>
    <col min="3" max="3" width="11.42578125" bestFit="1" customWidth="1"/>
    <col min="5" max="5" width="44.42578125" bestFit="1" customWidth="1"/>
    <col min="6" max="6" width="10.42578125" bestFit="1" customWidth="1"/>
    <col min="7" max="7" width="10.5703125" bestFit="1" customWidth="1"/>
  </cols>
  <sheetData>
    <row r="1" spans="1:7" ht="15" customHeight="1" x14ac:dyDescent="0.25">
      <c r="A1" s="324" t="s">
        <v>97</v>
      </c>
      <c r="B1" s="324"/>
      <c r="C1" s="324"/>
      <c r="D1" s="324"/>
      <c r="E1" s="324"/>
      <c r="F1" s="324"/>
      <c r="G1" s="324"/>
    </row>
    <row r="2" spans="1:7" ht="15" customHeight="1" x14ac:dyDescent="0.25">
      <c r="A2" s="324"/>
      <c r="B2" s="324"/>
      <c r="C2" s="324"/>
      <c r="D2" s="324"/>
      <c r="E2" s="324"/>
      <c r="F2" s="324"/>
      <c r="G2" s="324"/>
    </row>
    <row r="3" spans="1:7" ht="15.75" customHeight="1" thickBot="1" x14ac:dyDescent="0.3">
      <c r="A3" s="324"/>
      <c r="B3" s="324"/>
      <c r="C3" s="324"/>
      <c r="D3" s="324"/>
      <c r="E3" s="324"/>
      <c r="F3" s="324"/>
      <c r="G3" s="324"/>
    </row>
    <row r="4" spans="1:7" ht="15.75" thickBot="1" x14ac:dyDescent="0.3">
      <c r="A4" s="27" t="s">
        <v>55</v>
      </c>
      <c r="B4" s="38">
        <v>43466</v>
      </c>
      <c r="C4" s="58">
        <v>43830</v>
      </c>
      <c r="D4" s="39"/>
      <c r="E4" s="27" t="s">
        <v>56</v>
      </c>
      <c r="F4" s="38">
        <v>43466</v>
      </c>
      <c r="G4" s="58">
        <v>43830</v>
      </c>
    </row>
    <row r="5" spans="1:7" ht="15.75" thickTop="1" x14ac:dyDescent="0.25">
      <c r="A5" s="40" t="s">
        <v>57</v>
      </c>
      <c r="B5" s="140">
        <v>17992.509999999998</v>
      </c>
      <c r="C5" s="141">
        <v>8498.9500000000007</v>
      </c>
      <c r="D5" s="41"/>
      <c r="E5" s="80" t="s">
        <v>58</v>
      </c>
      <c r="F5" s="59">
        <v>0</v>
      </c>
      <c r="G5" s="59">
        <v>0</v>
      </c>
    </row>
    <row r="6" spans="1:7" x14ac:dyDescent="0.25">
      <c r="A6" s="142" t="s">
        <v>59</v>
      </c>
      <c r="B6" s="143">
        <v>16404.34</v>
      </c>
      <c r="C6" s="144">
        <v>28404.5</v>
      </c>
      <c r="D6" s="41"/>
      <c r="E6" s="81" t="s">
        <v>60</v>
      </c>
      <c r="F6" s="60">
        <v>596</v>
      </c>
      <c r="G6" s="60">
        <v>1830.8</v>
      </c>
    </row>
    <row r="7" spans="1:7" x14ac:dyDescent="0.25">
      <c r="A7" s="142" t="s">
        <v>61</v>
      </c>
      <c r="B7" s="143">
        <v>0</v>
      </c>
      <c r="C7" s="144" t="s">
        <v>90</v>
      </c>
      <c r="D7" s="41"/>
      <c r="E7" s="81" t="s">
        <v>62</v>
      </c>
      <c r="F7" s="60">
        <v>1008</v>
      </c>
      <c r="G7" s="60">
        <v>1356</v>
      </c>
    </row>
    <row r="8" spans="1:7" x14ac:dyDescent="0.25">
      <c r="A8" s="142" t="s">
        <v>63</v>
      </c>
      <c r="B8" s="143">
        <v>256.12</v>
      </c>
      <c r="C8" s="144">
        <v>904.58</v>
      </c>
      <c r="D8" s="41"/>
      <c r="E8" s="81" t="s">
        <v>99</v>
      </c>
      <c r="F8" s="60">
        <v>0</v>
      </c>
      <c r="G8" s="60">
        <v>1932</v>
      </c>
    </row>
    <row r="9" spans="1:7" x14ac:dyDescent="0.25">
      <c r="A9" s="145" t="s">
        <v>100</v>
      </c>
      <c r="B9" s="143">
        <v>0</v>
      </c>
      <c r="C9" s="144">
        <v>961</v>
      </c>
      <c r="D9" s="41"/>
      <c r="E9" s="81" t="s">
        <v>64</v>
      </c>
      <c r="F9" s="60">
        <v>345</v>
      </c>
      <c r="G9" s="60">
        <v>810</v>
      </c>
    </row>
    <row r="10" spans="1:7" x14ac:dyDescent="0.25">
      <c r="A10" s="145" t="s">
        <v>101</v>
      </c>
      <c r="B10" s="143">
        <v>500</v>
      </c>
      <c r="C10" s="144">
        <v>4400</v>
      </c>
      <c r="D10" s="41"/>
      <c r="E10" s="81" t="s">
        <v>65</v>
      </c>
      <c r="F10" s="60">
        <v>9430</v>
      </c>
      <c r="G10" s="60">
        <v>11780.07</v>
      </c>
    </row>
    <row r="11" spans="1:7" s="62" customFormat="1" x14ac:dyDescent="0.25">
      <c r="A11" s="145" t="s">
        <v>102</v>
      </c>
      <c r="B11" s="143">
        <v>0</v>
      </c>
      <c r="C11" s="144">
        <v>1625</v>
      </c>
      <c r="D11" s="41"/>
      <c r="E11" s="82" t="s">
        <v>94</v>
      </c>
      <c r="F11" s="60">
        <v>1735</v>
      </c>
      <c r="G11" s="60">
        <v>3120</v>
      </c>
    </row>
    <row r="12" spans="1:7" s="62" customFormat="1" x14ac:dyDescent="0.25">
      <c r="A12" s="145" t="s">
        <v>92</v>
      </c>
      <c r="B12" s="143">
        <v>550</v>
      </c>
      <c r="C12" s="146">
        <v>0</v>
      </c>
      <c r="D12" s="41"/>
      <c r="E12" s="82" t="s">
        <v>103</v>
      </c>
      <c r="F12" s="60">
        <v>0</v>
      </c>
      <c r="G12" s="60">
        <v>1138</v>
      </c>
    </row>
    <row r="13" spans="1:7" ht="15.75" thickBot="1" x14ac:dyDescent="0.3">
      <c r="A13" s="145" t="s">
        <v>93</v>
      </c>
      <c r="B13" s="143">
        <v>507.02</v>
      </c>
      <c r="C13" s="150">
        <v>0</v>
      </c>
      <c r="D13" s="41"/>
      <c r="E13" s="82" t="s">
        <v>66</v>
      </c>
      <c r="F13" s="60">
        <v>400</v>
      </c>
      <c r="G13" s="60">
        <v>0</v>
      </c>
    </row>
    <row r="14" spans="1:7" ht="15.75" thickBot="1" x14ac:dyDescent="0.3">
      <c r="A14" s="42" t="s">
        <v>40</v>
      </c>
      <c r="B14" s="147">
        <f>SUM(B5:B13)</f>
        <v>36209.99</v>
      </c>
      <c r="C14" s="151">
        <v>44794.03</v>
      </c>
      <c r="D14" s="41"/>
      <c r="E14" s="82" t="s">
        <v>85</v>
      </c>
      <c r="F14" s="60">
        <v>3430</v>
      </c>
      <c r="G14" s="60">
        <v>3775</v>
      </c>
    </row>
    <row r="15" spans="1:7" x14ac:dyDescent="0.25">
      <c r="A15" s="39"/>
      <c r="B15" s="43"/>
      <c r="C15" s="43"/>
      <c r="D15" s="41"/>
      <c r="E15" s="82" t="s">
        <v>95</v>
      </c>
      <c r="F15" s="60">
        <v>4075</v>
      </c>
      <c r="G15" s="60">
        <v>0</v>
      </c>
    </row>
    <row r="16" spans="1:7" x14ac:dyDescent="0.25">
      <c r="A16" s="39"/>
      <c r="B16" s="43"/>
      <c r="C16" s="43"/>
      <c r="D16" s="41"/>
      <c r="E16" s="81" t="s">
        <v>67</v>
      </c>
      <c r="F16" s="60">
        <v>9000</v>
      </c>
      <c r="G16" s="60">
        <v>9000</v>
      </c>
    </row>
    <row r="17" spans="1:7" s="62" customFormat="1" x14ac:dyDescent="0.25">
      <c r="A17" s="39"/>
      <c r="B17" s="43"/>
      <c r="C17" s="43"/>
      <c r="D17" s="41"/>
      <c r="E17" s="81" t="s">
        <v>68</v>
      </c>
      <c r="F17" s="60">
        <v>1497.96</v>
      </c>
      <c r="G17" s="60">
        <v>4232.51</v>
      </c>
    </row>
    <row r="18" spans="1:7" x14ac:dyDescent="0.25">
      <c r="A18" s="39"/>
      <c r="B18" s="43"/>
      <c r="C18" s="43"/>
      <c r="D18" s="41"/>
      <c r="E18" s="81" t="s">
        <v>104</v>
      </c>
      <c r="F18" s="60">
        <v>0</v>
      </c>
      <c r="G18" s="60">
        <v>248.65</v>
      </c>
    </row>
    <row r="19" spans="1:7" x14ac:dyDescent="0.25">
      <c r="A19" s="39"/>
      <c r="B19" s="43"/>
      <c r="C19" s="43"/>
      <c r="D19" s="41"/>
      <c r="E19" s="81" t="s">
        <v>69</v>
      </c>
      <c r="F19" s="60">
        <v>145.76</v>
      </c>
      <c r="G19" s="60">
        <v>656.9</v>
      </c>
    </row>
    <row r="20" spans="1:7" x14ac:dyDescent="0.25">
      <c r="A20" s="39"/>
      <c r="B20" s="43"/>
      <c r="C20" s="43"/>
      <c r="D20" s="41"/>
      <c r="E20" s="81" t="s">
        <v>86</v>
      </c>
      <c r="F20" s="60">
        <v>366.77</v>
      </c>
      <c r="G20" s="60">
        <v>399.82</v>
      </c>
    </row>
    <row r="21" spans="1:7" x14ac:dyDescent="0.25">
      <c r="A21" s="39"/>
      <c r="B21" s="43"/>
      <c r="C21" s="43"/>
      <c r="D21" s="41"/>
      <c r="E21" s="81" t="s">
        <v>96</v>
      </c>
      <c r="F21" s="60">
        <v>647.27</v>
      </c>
      <c r="G21" s="60">
        <v>1115.1300000000001</v>
      </c>
    </row>
    <row r="22" spans="1:7" x14ac:dyDescent="0.25">
      <c r="A22" s="41"/>
      <c r="B22" s="41"/>
      <c r="C22" s="41"/>
      <c r="D22" s="41"/>
      <c r="E22" s="81" t="s">
        <v>70</v>
      </c>
      <c r="F22" s="60">
        <v>529.15</v>
      </c>
      <c r="G22" s="60">
        <v>922.6</v>
      </c>
    </row>
    <row r="23" spans="1:7" x14ac:dyDescent="0.25">
      <c r="A23" s="41"/>
      <c r="B23" s="41"/>
      <c r="C23" s="41"/>
      <c r="D23" s="41"/>
      <c r="E23" s="81" t="s">
        <v>71</v>
      </c>
      <c r="F23" s="60">
        <v>621.79</v>
      </c>
      <c r="G23" s="60">
        <v>400.11</v>
      </c>
    </row>
    <row r="24" spans="1:7" ht="15.75" thickBot="1" x14ac:dyDescent="0.3">
      <c r="A24" s="41"/>
      <c r="B24" s="41"/>
      <c r="C24" s="41"/>
      <c r="D24" s="41"/>
      <c r="E24" s="81" t="s">
        <v>72</v>
      </c>
      <c r="F24" s="60">
        <v>2382.29</v>
      </c>
      <c r="G24" s="60">
        <v>2076.44</v>
      </c>
    </row>
    <row r="25" spans="1:7" ht="15.75" thickBot="1" x14ac:dyDescent="0.3">
      <c r="A25" s="62"/>
      <c r="B25" s="62"/>
      <c r="C25" s="62"/>
      <c r="D25" s="41"/>
      <c r="E25" s="44" t="s">
        <v>40</v>
      </c>
      <c r="F25" s="83">
        <f>SUM(F5:F24)</f>
        <v>36209.99</v>
      </c>
      <c r="G25" s="151">
        <v>44794.03</v>
      </c>
    </row>
    <row r="26" spans="1:7" x14ac:dyDescent="0.25">
      <c r="A26" s="62"/>
      <c r="B26" s="62"/>
      <c r="C26" s="62"/>
      <c r="D26" s="41"/>
      <c r="E26" s="41" t="s">
        <v>73</v>
      </c>
      <c r="F26" s="41"/>
      <c r="G26" s="41"/>
    </row>
    <row r="27" spans="1:7" s="62" customFormat="1" x14ac:dyDescent="0.25">
      <c r="D27" s="41"/>
      <c r="E27" s="320" t="s">
        <v>135</v>
      </c>
      <c r="F27" s="321">
        <v>420</v>
      </c>
      <c r="G27" s="41"/>
    </row>
    <row r="28" spans="1:7" x14ac:dyDescent="0.25">
      <c r="A28" s="62"/>
      <c r="B28" s="62"/>
      <c r="C28" s="62"/>
      <c r="D28" s="62"/>
      <c r="E28" s="41" t="s">
        <v>74</v>
      </c>
      <c r="F28" s="45">
        <f>SUM(Vereniging!E25+Elerion!F28+Elerion!F59+Bron!F31+Herberg!F46+Herberg!F21+'Poorten van Alexandria'!F16+Horror!F19+Moresnet!F14+Moresnet!F45+Belvedere!F22+Belvedere!F49+Lustrum!F15)</f>
        <v>3441.169999999996</v>
      </c>
      <c r="G28" s="41"/>
    </row>
    <row r="29" spans="1:7" s="62" customFormat="1" x14ac:dyDescent="0.25">
      <c r="E29" s="322" t="s">
        <v>40</v>
      </c>
      <c r="F29" s="323">
        <f>SUM(F27:F28)</f>
        <v>3861.169999999996</v>
      </c>
      <c r="G29" s="41"/>
    </row>
    <row r="30" spans="1:7" x14ac:dyDescent="0.25">
      <c r="A30" s="62"/>
      <c r="B30" s="62"/>
      <c r="C30" s="62"/>
      <c r="D30" s="62"/>
      <c r="E30" s="41" t="s">
        <v>75</v>
      </c>
      <c r="F30" s="46">
        <f>(SUM(G16:G24))-(SUM(F16:F24))</f>
        <v>3861.1699999999946</v>
      </c>
      <c r="G30" s="41"/>
    </row>
    <row r="31" spans="1:7" x14ac:dyDescent="0.25">
      <c r="D31" s="41"/>
    </row>
  </sheetData>
  <mergeCells count="1">
    <mergeCell ref="A1:G3"/>
  </mergeCells>
  <pageMargins left="0.7" right="0.7" top="0.75" bottom="0.75" header="0.3" footer="0.3"/>
  <pageSetup paperSize="9" scale="87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5" sqref="E5:G16"/>
    </sheetView>
  </sheetViews>
  <sheetFormatPr defaultRowHeight="15" x14ac:dyDescent="0.25"/>
  <cols>
    <col min="1" max="1" width="41.42578125" bestFit="1" customWidth="1"/>
    <col min="3" max="4" width="10.42578125" bestFit="1" customWidth="1"/>
    <col min="6" max="7" width="10.42578125" bestFit="1" customWidth="1"/>
  </cols>
  <sheetData>
    <row r="1" spans="1:7" ht="15.75" thickBot="1" x14ac:dyDescent="0.3">
      <c r="A1" s="332" t="s">
        <v>128</v>
      </c>
      <c r="B1" s="332"/>
      <c r="C1" s="332"/>
      <c r="D1" s="332"/>
      <c r="E1" s="332"/>
      <c r="F1" s="332"/>
      <c r="G1" s="332"/>
    </row>
    <row r="2" spans="1:7" ht="16.5" thickTop="1" thickBot="1" x14ac:dyDescent="0.3">
      <c r="A2" s="332"/>
      <c r="B2" s="332"/>
      <c r="C2" s="332"/>
      <c r="D2" s="332"/>
      <c r="E2" s="332"/>
      <c r="F2" s="332"/>
      <c r="G2" s="332"/>
    </row>
    <row r="3" spans="1:7" ht="15.75" thickTop="1" x14ac:dyDescent="0.25">
      <c r="A3" s="63"/>
      <c r="B3" s="333" t="s">
        <v>25</v>
      </c>
      <c r="C3" s="333"/>
      <c r="D3" s="333"/>
      <c r="E3" s="334" t="s">
        <v>26</v>
      </c>
      <c r="F3" s="334"/>
      <c r="G3" s="334"/>
    </row>
    <row r="4" spans="1:7" ht="15.75" thickBot="1" x14ac:dyDescent="0.3">
      <c r="A4" s="285" t="s">
        <v>1</v>
      </c>
      <c r="B4" s="286" t="s">
        <v>27</v>
      </c>
      <c r="C4" s="287" t="s">
        <v>2</v>
      </c>
      <c r="D4" s="288" t="s">
        <v>3</v>
      </c>
      <c r="E4" s="287" t="s">
        <v>27</v>
      </c>
      <c r="F4" s="287" t="s">
        <v>2</v>
      </c>
      <c r="G4" s="289" t="s">
        <v>3</v>
      </c>
    </row>
    <row r="5" spans="1:7" ht="15.75" thickTop="1" x14ac:dyDescent="0.25">
      <c r="A5" s="290" t="s">
        <v>129</v>
      </c>
      <c r="B5" s="84"/>
      <c r="C5" s="2"/>
      <c r="D5" s="291">
        <v>500</v>
      </c>
      <c r="E5" s="2"/>
      <c r="F5" s="2"/>
      <c r="G5" s="292">
        <v>500</v>
      </c>
    </row>
    <row r="6" spans="1:7" x14ac:dyDescent="0.25">
      <c r="A6" s="64" t="s">
        <v>130</v>
      </c>
      <c r="B6" s="87">
        <v>100</v>
      </c>
      <c r="C6" s="1"/>
      <c r="D6" s="61">
        <v>1500</v>
      </c>
      <c r="E6" s="3">
        <v>136</v>
      </c>
      <c r="F6" s="1"/>
      <c r="G6" s="61">
        <v>1980</v>
      </c>
    </row>
    <row r="7" spans="1:7" x14ac:dyDescent="0.25">
      <c r="A7" s="64" t="s">
        <v>54</v>
      </c>
      <c r="B7" s="87">
        <v>50</v>
      </c>
      <c r="C7" s="1"/>
      <c r="D7" s="61">
        <v>750</v>
      </c>
      <c r="E7" s="3">
        <v>53</v>
      </c>
      <c r="F7" s="1">
        <v>389.62</v>
      </c>
      <c r="G7" s="4">
        <v>795</v>
      </c>
    </row>
    <row r="8" spans="1:7" x14ac:dyDescent="0.25">
      <c r="A8" s="64" t="s">
        <v>45</v>
      </c>
      <c r="B8" s="87"/>
      <c r="C8" s="1"/>
      <c r="D8" s="61"/>
      <c r="E8" s="3"/>
      <c r="F8" s="1">
        <v>0</v>
      </c>
      <c r="G8" s="4">
        <v>135</v>
      </c>
    </row>
    <row r="9" spans="1:7" x14ac:dyDescent="0.25">
      <c r="A9" s="64" t="s">
        <v>32</v>
      </c>
      <c r="B9" s="87"/>
      <c r="C9" s="1"/>
      <c r="D9" s="61">
        <v>500</v>
      </c>
      <c r="E9" s="3"/>
      <c r="F9" s="1">
        <v>0</v>
      </c>
      <c r="G9" s="4">
        <v>531</v>
      </c>
    </row>
    <row r="10" spans="1:7" x14ac:dyDescent="0.25">
      <c r="A10" s="64" t="s">
        <v>131</v>
      </c>
      <c r="B10" s="91"/>
      <c r="C10" s="1">
        <v>2500</v>
      </c>
      <c r="D10" s="61"/>
      <c r="E10" s="3"/>
      <c r="F10" s="1">
        <v>2637.5</v>
      </c>
      <c r="G10" s="4"/>
    </row>
    <row r="11" spans="1:7" x14ac:dyDescent="0.25">
      <c r="A11" s="64" t="s">
        <v>37</v>
      </c>
      <c r="B11" s="91"/>
      <c r="C11" s="1">
        <v>300</v>
      </c>
      <c r="D11" s="61"/>
      <c r="E11" s="1"/>
      <c r="F11" s="1">
        <v>291.55</v>
      </c>
      <c r="G11" s="4"/>
    </row>
    <row r="12" spans="1:7" x14ac:dyDescent="0.25">
      <c r="A12" s="64" t="s">
        <v>132</v>
      </c>
      <c r="B12" s="90"/>
      <c r="C12" s="1">
        <v>400</v>
      </c>
      <c r="D12" s="61"/>
      <c r="E12" s="1"/>
      <c r="F12" s="1">
        <v>298.31</v>
      </c>
      <c r="G12" s="4"/>
    </row>
    <row r="13" spans="1:7" ht="15.75" thickBot="1" x14ac:dyDescent="0.3">
      <c r="A13" s="64" t="s">
        <v>39</v>
      </c>
      <c r="B13" s="90"/>
      <c r="C13" s="1">
        <v>50</v>
      </c>
      <c r="D13" s="61"/>
      <c r="E13" s="1"/>
      <c r="F13" s="1">
        <v>0</v>
      </c>
      <c r="G13" s="4"/>
    </row>
    <row r="14" spans="1:7" ht="15.75" thickTop="1" x14ac:dyDescent="0.25">
      <c r="A14" s="63" t="s">
        <v>40</v>
      </c>
      <c r="B14" s="30"/>
      <c r="C14" s="5">
        <f>SUM(C6:C13)</f>
        <v>3250</v>
      </c>
      <c r="D14" s="6">
        <f>SUM(D5:D13)</f>
        <v>3250</v>
      </c>
      <c r="E14" s="5"/>
      <c r="F14" s="5">
        <v>3616.98</v>
      </c>
      <c r="G14" s="7">
        <v>3941</v>
      </c>
    </row>
    <row r="15" spans="1:7" ht="15.75" thickBot="1" x14ac:dyDescent="0.3">
      <c r="A15" s="31" t="s">
        <v>41</v>
      </c>
      <c r="B15" s="93"/>
      <c r="C15" s="94">
        <f>D14-C14</f>
        <v>0</v>
      </c>
      <c r="D15" s="95"/>
      <c r="E15" s="96"/>
      <c r="F15" s="96">
        <v>324.02</v>
      </c>
      <c r="G15" s="32"/>
    </row>
    <row r="16" spans="1:7" ht="16.5" thickTop="1" thickBot="1" x14ac:dyDescent="0.3">
      <c r="A16" s="33" t="s">
        <v>42</v>
      </c>
      <c r="B16" s="34"/>
      <c r="C16" s="35">
        <f>SUM(C14:C15)</f>
        <v>3250</v>
      </c>
      <c r="D16" s="36">
        <f>SUM(D14:D15)</f>
        <v>3250</v>
      </c>
      <c r="E16" s="35"/>
      <c r="F16" s="35">
        <v>3941</v>
      </c>
      <c r="G16" s="37">
        <v>3941</v>
      </c>
    </row>
    <row r="17" ht="15.75" thickTop="1" x14ac:dyDescent="0.25"/>
  </sheetData>
  <mergeCells count="3">
    <mergeCell ref="A1:G2"/>
    <mergeCell ref="B3:D3"/>
    <mergeCell ref="E3:G3"/>
  </mergeCells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opLeftCell="B7" workbookViewId="0">
      <selection activeCell="H22" sqref="H22"/>
    </sheetView>
  </sheetViews>
  <sheetFormatPr defaultRowHeight="15" x14ac:dyDescent="0.25"/>
  <cols>
    <col min="2" max="2" width="36.5703125" customWidth="1"/>
    <col min="3" max="3" width="10.28515625" bestFit="1" customWidth="1"/>
    <col min="4" max="6" width="9.5703125" bestFit="1" customWidth="1"/>
  </cols>
  <sheetData>
    <row r="1" spans="1:6" ht="15" customHeight="1" x14ac:dyDescent="0.25">
      <c r="A1" s="324" t="s">
        <v>98</v>
      </c>
      <c r="B1" s="324"/>
      <c r="C1" s="324"/>
      <c r="D1" s="324"/>
      <c r="E1" s="324"/>
      <c r="F1" s="324"/>
    </row>
    <row r="2" spans="1:6" ht="15.75" customHeight="1" thickBot="1" x14ac:dyDescent="0.3">
      <c r="A2" s="327"/>
      <c r="B2" s="327"/>
      <c r="C2" s="327"/>
      <c r="D2" s="327"/>
      <c r="E2" s="327"/>
      <c r="F2" s="327"/>
    </row>
    <row r="3" spans="1:6" ht="15" customHeight="1" x14ac:dyDescent="0.25">
      <c r="A3" s="15"/>
      <c r="B3" s="16"/>
      <c r="C3" s="325" t="s">
        <v>25</v>
      </c>
      <c r="D3" s="326"/>
      <c r="E3" s="325" t="s">
        <v>91</v>
      </c>
      <c r="F3" s="326"/>
    </row>
    <row r="4" spans="1:6" ht="15.75" thickBot="1" x14ac:dyDescent="0.3">
      <c r="A4" s="18" t="s">
        <v>0</v>
      </c>
      <c r="B4" s="17" t="s">
        <v>1</v>
      </c>
      <c r="C4" s="8" t="s">
        <v>2</v>
      </c>
      <c r="D4" s="9" t="s">
        <v>3</v>
      </c>
      <c r="E4" s="8" t="s">
        <v>2</v>
      </c>
      <c r="F4" s="9" t="s">
        <v>3</v>
      </c>
    </row>
    <row r="5" spans="1:6" x14ac:dyDescent="0.25">
      <c r="A5" s="92"/>
      <c r="B5" s="24" t="s">
        <v>4</v>
      </c>
      <c r="C5" s="25"/>
      <c r="D5" s="26"/>
      <c r="E5" s="25"/>
      <c r="F5" s="26"/>
    </row>
    <row r="6" spans="1:6" x14ac:dyDescent="0.25">
      <c r="A6" s="90">
        <v>8113</v>
      </c>
      <c r="B6" s="77" t="s">
        <v>5</v>
      </c>
      <c r="C6" s="78"/>
      <c r="D6" s="79">
        <v>1560</v>
      </c>
      <c r="E6" s="10"/>
      <c r="F6" s="11">
        <v>1914</v>
      </c>
    </row>
    <row r="7" spans="1:6" x14ac:dyDescent="0.25">
      <c r="A7" s="90">
        <v>8300</v>
      </c>
      <c r="B7" s="77" t="s">
        <v>6</v>
      </c>
      <c r="C7" s="78"/>
      <c r="D7" s="79">
        <v>0</v>
      </c>
      <c r="E7" s="10"/>
      <c r="F7" s="11">
        <v>0</v>
      </c>
    </row>
    <row r="8" spans="1:6" x14ac:dyDescent="0.25">
      <c r="A8" s="90">
        <v>8910</v>
      </c>
      <c r="B8" s="77" t="s">
        <v>7</v>
      </c>
      <c r="C8" s="78"/>
      <c r="D8" s="79">
        <v>0</v>
      </c>
      <c r="E8" s="10"/>
      <c r="F8" s="11">
        <v>0.16</v>
      </c>
    </row>
    <row r="9" spans="1:6" x14ac:dyDescent="0.25">
      <c r="A9" s="90">
        <v>41011</v>
      </c>
      <c r="B9" s="77" t="s">
        <v>8</v>
      </c>
      <c r="C9" s="78">
        <v>100</v>
      </c>
      <c r="D9" s="79"/>
      <c r="E9" s="10">
        <v>100</v>
      </c>
      <c r="F9" s="11"/>
    </row>
    <row r="10" spans="1:6" x14ac:dyDescent="0.25">
      <c r="A10" s="90">
        <v>41020</v>
      </c>
      <c r="B10" s="77" t="s">
        <v>9</v>
      </c>
      <c r="C10" s="78">
        <v>230</v>
      </c>
      <c r="D10" s="79"/>
      <c r="E10" s="10">
        <v>217.07</v>
      </c>
      <c r="F10" s="11"/>
    </row>
    <row r="11" spans="1:6" s="62" customFormat="1" x14ac:dyDescent="0.25">
      <c r="A11" s="90">
        <v>41030</v>
      </c>
      <c r="B11" s="77" t="s">
        <v>84</v>
      </c>
      <c r="C11" s="78">
        <v>0</v>
      </c>
      <c r="D11" s="79"/>
      <c r="E11" s="78">
        <v>0</v>
      </c>
      <c r="F11" s="79"/>
    </row>
    <row r="12" spans="1:6" x14ac:dyDescent="0.25">
      <c r="A12" s="90">
        <v>41035</v>
      </c>
      <c r="B12" s="77" t="s">
        <v>10</v>
      </c>
      <c r="C12" s="78">
        <v>2750</v>
      </c>
      <c r="D12" s="79">
        <v>2750</v>
      </c>
      <c r="E12" s="10">
        <v>2839.08</v>
      </c>
      <c r="F12" s="11">
        <v>2750.06</v>
      </c>
    </row>
    <row r="13" spans="1:6" x14ac:dyDescent="0.25">
      <c r="A13" s="90">
        <v>41036</v>
      </c>
      <c r="B13" s="77" t="s">
        <v>11</v>
      </c>
      <c r="C13" s="78">
        <v>1500</v>
      </c>
      <c r="D13" s="79"/>
      <c r="E13" s="10">
        <v>1516.07</v>
      </c>
      <c r="F13" s="11"/>
    </row>
    <row r="14" spans="1:6" x14ac:dyDescent="0.25">
      <c r="A14" s="90">
        <v>41039</v>
      </c>
      <c r="B14" s="77" t="s">
        <v>13</v>
      </c>
      <c r="C14" s="148">
        <v>200</v>
      </c>
      <c r="D14" s="149">
        <v>50</v>
      </c>
      <c r="E14" s="12">
        <v>0</v>
      </c>
      <c r="F14" s="13">
        <v>50</v>
      </c>
    </row>
    <row r="15" spans="1:6" x14ac:dyDescent="0.25">
      <c r="A15" s="90">
        <v>41040</v>
      </c>
      <c r="B15" s="77" t="s">
        <v>14</v>
      </c>
      <c r="C15" s="78">
        <v>48</v>
      </c>
      <c r="D15" s="79"/>
      <c r="E15" s="10">
        <v>48</v>
      </c>
      <c r="F15" s="11"/>
    </row>
    <row r="16" spans="1:6" x14ac:dyDescent="0.25">
      <c r="A16" s="90">
        <v>41050</v>
      </c>
      <c r="B16" s="77" t="s">
        <v>76</v>
      </c>
      <c r="C16" s="78">
        <v>50</v>
      </c>
      <c r="D16" s="79"/>
      <c r="E16" s="10">
        <v>36.53</v>
      </c>
      <c r="F16" s="11"/>
    </row>
    <row r="17" spans="1:6" s="28" customFormat="1" x14ac:dyDescent="0.25">
      <c r="A17" s="90">
        <v>41060</v>
      </c>
      <c r="B17" s="77" t="s">
        <v>15</v>
      </c>
      <c r="C17" s="78">
        <v>150</v>
      </c>
      <c r="D17" s="79"/>
      <c r="E17" s="10">
        <v>142.26</v>
      </c>
      <c r="F17" s="11"/>
    </row>
    <row r="18" spans="1:6" x14ac:dyDescent="0.25">
      <c r="A18" s="90">
        <v>41080</v>
      </c>
      <c r="B18" s="77" t="s">
        <v>16</v>
      </c>
      <c r="C18" s="78">
        <v>0</v>
      </c>
      <c r="D18" s="79"/>
      <c r="E18" s="10">
        <v>0</v>
      </c>
      <c r="F18" s="11"/>
    </row>
    <row r="19" spans="1:6" x14ac:dyDescent="0.25">
      <c r="A19" s="90">
        <v>41090</v>
      </c>
      <c r="B19" s="77" t="s">
        <v>17</v>
      </c>
      <c r="C19" s="78">
        <v>150</v>
      </c>
      <c r="D19" s="79">
        <v>150</v>
      </c>
      <c r="E19" s="10">
        <v>190.43</v>
      </c>
      <c r="F19" s="11">
        <v>168.63</v>
      </c>
    </row>
    <row r="20" spans="1:6" x14ac:dyDescent="0.25">
      <c r="A20" s="90">
        <v>41091</v>
      </c>
      <c r="B20" s="77" t="s">
        <v>18</v>
      </c>
      <c r="C20" s="78">
        <v>300</v>
      </c>
      <c r="D20" s="79"/>
      <c r="E20" s="10">
        <v>423.28</v>
      </c>
      <c r="F20" s="11"/>
    </row>
    <row r="21" spans="1:6" x14ac:dyDescent="0.25">
      <c r="A21" s="90">
        <v>41092</v>
      </c>
      <c r="B21" s="77" t="s">
        <v>19</v>
      </c>
      <c r="C21" s="78">
        <v>0</v>
      </c>
      <c r="D21" s="79"/>
      <c r="E21" s="10">
        <v>0</v>
      </c>
      <c r="F21" s="11"/>
    </row>
    <row r="22" spans="1:6" x14ac:dyDescent="0.25">
      <c r="A22" s="90">
        <v>41100</v>
      </c>
      <c r="B22" s="77" t="s">
        <v>20</v>
      </c>
      <c r="C22" s="78">
        <v>0</v>
      </c>
      <c r="D22" s="79"/>
      <c r="E22" s="10">
        <v>0</v>
      </c>
      <c r="F22" s="11"/>
    </row>
    <row r="23" spans="1:6" ht="15.75" thickBot="1" x14ac:dyDescent="0.3">
      <c r="A23" s="90"/>
      <c r="B23" s="77" t="s">
        <v>21</v>
      </c>
      <c r="C23" s="78">
        <v>150</v>
      </c>
      <c r="D23" s="79"/>
      <c r="E23" s="10">
        <v>0</v>
      </c>
      <c r="F23" s="11"/>
    </row>
    <row r="24" spans="1:6" ht="15.75" thickBot="1" x14ac:dyDescent="0.3">
      <c r="A24" s="19"/>
      <c r="B24" s="20" t="s">
        <v>22</v>
      </c>
      <c r="C24" s="23">
        <f>SUM(C5:C23)</f>
        <v>5628</v>
      </c>
      <c r="D24" s="20">
        <f>SUM(D5:D22)</f>
        <v>4510</v>
      </c>
      <c r="E24" s="23">
        <f>SUM(E5:E23)</f>
        <v>5512.72</v>
      </c>
      <c r="F24" s="20">
        <f>SUM(F5:F22)</f>
        <v>4882.8500000000004</v>
      </c>
    </row>
    <row r="25" spans="1:6" ht="15.75" thickBot="1" x14ac:dyDescent="0.3">
      <c r="A25" s="90"/>
      <c r="B25" s="77" t="s">
        <v>23</v>
      </c>
      <c r="C25" s="78">
        <f>D24-C24</f>
        <v>-1118</v>
      </c>
      <c r="D25" s="77"/>
      <c r="E25" s="10">
        <f>F24-E24</f>
        <v>-629.86999999999989</v>
      </c>
      <c r="F25" s="14"/>
    </row>
    <row r="26" spans="1:6" ht="15.75" thickBot="1" x14ac:dyDescent="0.3">
      <c r="A26" s="19"/>
      <c r="B26" s="20" t="s">
        <v>24</v>
      </c>
      <c r="C26" s="21">
        <f>C24+C25</f>
        <v>4510</v>
      </c>
      <c r="D26" s="22">
        <f>D24+D25</f>
        <v>4510</v>
      </c>
      <c r="E26" s="21">
        <f>E24+E25</f>
        <v>4882.8500000000004</v>
      </c>
      <c r="F26" s="22">
        <f>F24+F25</f>
        <v>4882.8500000000004</v>
      </c>
    </row>
  </sheetData>
  <mergeCells count="3">
    <mergeCell ref="C3:D3"/>
    <mergeCell ref="E3:F3"/>
    <mergeCell ref="A1:F2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workbookViewId="0">
      <selection activeCell="E5" sqref="E5:G30"/>
    </sheetView>
  </sheetViews>
  <sheetFormatPr defaultRowHeight="15" x14ac:dyDescent="0.25"/>
  <cols>
    <col min="1" max="1" width="44.28515625" bestFit="1" customWidth="1"/>
    <col min="3" max="3" width="11.85546875" customWidth="1"/>
    <col min="4" max="4" width="12.140625" customWidth="1"/>
    <col min="6" max="7" width="11.85546875" bestFit="1" customWidth="1"/>
  </cols>
  <sheetData>
    <row r="1" spans="1:7" ht="15.75" customHeight="1" thickBot="1" x14ac:dyDescent="0.3">
      <c r="A1" s="332" t="s">
        <v>105</v>
      </c>
      <c r="B1" s="332"/>
      <c r="C1" s="332"/>
      <c r="D1" s="332"/>
      <c r="E1" s="332"/>
      <c r="F1" s="332"/>
      <c r="G1" s="332"/>
    </row>
    <row r="2" spans="1:7" ht="16.5" customHeight="1" thickTop="1" thickBot="1" x14ac:dyDescent="0.3">
      <c r="A2" s="332"/>
      <c r="B2" s="332"/>
      <c r="C2" s="332"/>
      <c r="D2" s="332"/>
      <c r="E2" s="332"/>
      <c r="F2" s="332"/>
      <c r="G2" s="332"/>
    </row>
    <row r="3" spans="1:7" ht="15.75" thickTop="1" x14ac:dyDescent="0.25">
      <c r="A3" s="63"/>
      <c r="B3" s="333" t="s">
        <v>25</v>
      </c>
      <c r="C3" s="333"/>
      <c r="D3" s="333"/>
      <c r="E3" s="334" t="s">
        <v>26</v>
      </c>
      <c r="F3" s="334"/>
      <c r="G3" s="334"/>
    </row>
    <row r="4" spans="1:7" ht="15.75" thickBot="1" x14ac:dyDescent="0.3">
      <c r="A4" s="48" t="s">
        <v>1</v>
      </c>
      <c r="B4" s="84" t="s">
        <v>27</v>
      </c>
      <c r="C4" s="2" t="s">
        <v>2</v>
      </c>
      <c r="D4" s="69" t="s">
        <v>3</v>
      </c>
      <c r="E4" s="2" t="s">
        <v>27</v>
      </c>
      <c r="F4" s="2" t="s">
        <v>2</v>
      </c>
      <c r="G4" s="51" t="s">
        <v>3</v>
      </c>
    </row>
    <row r="5" spans="1:7" ht="15.75" thickBot="1" x14ac:dyDescent="0.3">
      <c r="A5" s="85" t="s">
        <v>28</v>
      </c>
      <c r="B5" s="86"/>
      <c r="C5" s="49"/>
      <c r="D5" s="50">
        <v>1497.96</v>
      </c>
      <c r="E5" s="49"/>
      <c r="F5" s="49"/>
      <c r="G5" s="50">
        <v>1497.96</v>
      </c>
    </row>
    <row r="6" spans="1:7" x14ac:dyDescent="0.25">
      <c r="A6" s="64" t="s">
        <v>29</v>
      </c>
      <c r="B6" s="87">
        <v>70</v>
      </c>
      <c r="C6" s="1"/>
      <c r="D6" s="61">
        <f>100*B6</f>
        <v>7000</v>
      </c>
      <c r="E6" s="3">
        <v>71</v>
      </c>
      <c r="F6" s="1"/>
      <c r="G6" s="61">
        <v>7100</v>
      </c>
    </row>
    <row r="7" spans="1:7" x14ac:dyDescent="0.25">
      <c r="A7" s="64" t="s">
        <v>44</v>
      </c>
      <c r="B7" s="87">
        <v>43</v>
      </c>
      <c r="C7" s="1"/>
      <c r="D7" s="61">
        <f>65*B7</f>
        <v>2795</v>
      </c>
      <c r="E7" s="3">
        <v>50</v>
      </c>
      <c r="F7" s="1"/>
      <c r="G7" s="61">
        <v>3250</v>
      </c>
    </row>
    <row r="8" spans="1:7" x14ac:dyDescent="0.25">
      <c r="A8" s="64" t="s">
        <v>30</v>
      </c>
      <c r="B8" s="87">
        <v>10</v>
      </c>
      <c r="C8" s="1"/>
      <c r="D8" s="61">
        <f>B8*25</f>
        <v>250</v>
      </c>
      <c r="E8" s="3">
        <v>12</v>
      </c>
      <c r="F8" s="1"/>
      <c r="G8" s="61">
        <v>300</v>
      </c>
    </row>
    <row r="9" spans="1:7" x14ac:dyDescent="0.25">
      <c r="A9" s="64" t="s">
        <v>45</v>
      </c>
      <c r="B9" s="87"/>
      <c r="C9" s="1"/>
      <c r="D9" s="61"/>
      <c r="E9" s="3"/>
      <c r="F9" s="1"/>
      <c r="G9" s="4"/>
    </row>
    <row r="10" spans="1:7" x14ac:dyDescent="0.25">
      <c r="A10" s="64" t="s">
        <v>32</v>
      </c>
      <c r="B10" s="87">
        <v>180</v>
      </c>
      <c r="C10" s="1"/>
      <c r="D10" s="61">
        <f>5*B10</f>
        <v>900</v>
      </c>
      <c r="E10" s="3"/>
      <c r="F10" s="1"/>
      <c r="G10" s="61">
        <v>957</v>
      </c>
    </row>
    <row r="11" spans="1:7" x14ac:dyDescent="0.25">
      <c r="A11" s="29" t="s">
        <v>46</v>
      </c>
      <c r="B11" s="87"/>
      <c r="C11" s="1"/>
      <c r="D11" s="61"/>
      <c r="E11" s="3"/>
      <c r="F11" s="1"/>
      <c r="G11" s="4">
        <v>76</v>
      </c>
    </row>
    <row r="12" spans="1:7" x14ac:dyDescent="0.25">
      <c r="A12" s="64" t="s">
        <v>33</v>
      </c>
      <c r="B12" s="89"/>
      <c r="C12" s="1">
        <v>665.57</v>
      </c>
      <c r="D12" s="61"/>
      <c r="E12" s="3"/>
      <c r="F12" s="1">
        <v>665.57</v>
      </c>
      <c r="G12" s="4"/>
    </row>
    <row r="13" spans="1:7" x14ac:dyDescent="0.25">
      <c r="A13" s="64" t="s">
        <v>34</v>
      </c>
      <c r="B13" s="89"/>
      <c r="C13" s="1">
        <f>0.39*(B6+B7+B8)</f>
        <v>47.97</v>
      </c>
      <c r="D13" s="61"/>
      <c r="E13" s="3"/>
      <c r="F13" s="1">
        <v>51.870000000000005</v>
      </c>
      <c r="G13" s="4"/>
    </row>
    <row r="14" spans="1:7" x14ac:dyDescent="0.25">
      <c r="A14" s="64" t="s">
        <v>35</v>
      </c>
      <c r="B14" s="90"/>
      <c r="C14" s="1">
        <v>650</v>
      </c>
      <c r="D14" s="61"/>
      <c r="E14" s="3"/>
      <c r="F14" s="1">
        <v>688.5</v>
      </c>
      <c r="G14" s="4"/>
    </row>
    <row r="15" spans="1:7" x14ac:dyDescent="0.25">
      <c r="A15" s="64" t="s">
        <v>36</v>
      </c>
      <c r="B15" s="91"/>
      <c r="C15" s="1">
        <v>2750</v>
      </c>
      <c r="D15" s="61"/>
      <c r="E15" s="3"/>
      <c r="F15" s="1">
        <v>2559.79</v>
      </c>
      <c r="G15" s="4"/>
    </row>
    <row r="16" spans="1:7" x14ac:dyDescent="0.25">
      <c r="A16" s="64" t="s">
        <v>83</v>
      </c>
      <c r="B16" s="91"/>
      <c r="C16" s="1">
        <v>150</v>
      </c>
      <c r="D16" s="61"/>
      <c r="E16" s="3"/>
      <c r="F16" s="1">
        <v>162.93</v>
      </c>
      <c r="G16" s="4"/>
    </row>
    <row r="17" spans="1:7" x14ac:dyDescent="0.25">
      <c r="A17" s="64" t="s">
        <v>48</v>
      </c>
      <c r="B17" s="89"/>
      <c r="C17" s="1">
        <v>50</v>
      </c>
      <c r="D17" s="61"/>
      <c r="E17" s="1"/>
      <c r="F17" s="1">
        <v>31.95</v>
      </c>
      <c r="G17" s="4"/>
    </row>
    <row r="18" spans="1:7" x14ac:dyDescent="0.25">
      <c r="A18" s="64" t="s">
        <v>49</v>
      </c>
      <c r="B18" s="89"/>
      <c r="C18" s="1">
        <v>50</v>
      </c>
      <c r="D18" s="61"/>
      <c r="E18" s="1"/>
      <c r="F18" s="1">
        <v>72.5</v>
      </c>
      <c r="G18" s="4"/>
    </row>
    <row r="19" spans="1:7" x14ac:dyDescent="0.25">
      <c r="A19" s="64" t="s">
        <v>50</v>
      </c>
      <c r="B19" s="90"/>
      <c r="C19" s="1">
        <v>300</v>
      </c>
      <c r="D19" s="61"/>
      <c r="E19" s="1"/>
      <c r="F19" s="1">
        <v>130</v>
      </c>
      <c r="G19" s="4"/>
    </row>
    <row r="20" spans="1:7" x14ac:dyDescent="0.25">
      <c r="A20" s="64" t="s">
        <v>37</v>
      </c>
      <c r="B20" s="91"/>
      <c r="C20" s="1">
        <v>2700</v>
      </c>
      <c r="D20" s="61"/>
      <c r="E20" s="1"/>
      <c r="F20" s="1">
        <v>2700.5</v>
      </c>
      <c r="G20" s="4"/>
    </row>
    <row r="21" spans="1:7" x14ac:dyDescent="0.25">
      <c r="A21" s="64" t="s">
        <v>51</v>
      </c>
      <c r="B21" s="91"/>
      <c r="C21" s="1">
        <v>500</v>
      </c>
      <c r="D21" s="61"/>
      <c r="E21" s="1"/>
      <c r="F21" s="1">
        <v>402</v>
      </c>
      <c r="G21" s="4"/>
    </row>
    <row r="22" spans="1:7" x14ac:dyDescent="0.25">
      <c r="A22" s="64" t="s">
        <v>38</v>
      </c>
      <c r="B22" s="91"/>
      <c r="C22" s="1">
        <v>200</v>
      </c>
      <c r="D22" s="61"/>
      <c r="E22" s="1"/>
      <c r="F22" s="1">
        <v>390.43</v>
      </c>
      <c r="G22" s="4"/>
    </row>
    <row r="23" spans="1:7" x14ac:dyDescent="0.25">
      <c r="A23" s="64" t="s">
        <v>43</v>
      </c>
      <c r="B23" s="90"/>
      <c r="C23" s="1">
        <v>1000</v>
      </c>
      <c r="D23" s="61"/>
      <c r="E23" s="1"/>
      <c r="F23" s="1">
        <v>1489.3400000000004</v>
      </c>
      <c r="G23" s="4"/>
    </row>
    <row r="24" spans="1:7" x14ac:dyDescent="0.25">
      <c r="A24" s="64" t="s">
        <v>12</v>
      </c>
      <c r="B24" s="90"/>
      <c r="C24" s="1">
        <v>75</v>
      </c>
      <c r="D24" s="61"/>
      <c r="E24" s="1"/>
      <c r="F24" s="1">
        <v>61.45</v>
      </c>
      <c r="G24" s="4"/>
    </row>
    <row r="25" spans="1:7" x14ac:dyDescent="0.25">
      <c r="A25" s="64" t="s">
        <v>52</v>
      </c>
      <c r="B25" s="90"/>
      <c r="C25" s="1">
        <v>1350</v>
      </c>
      <c r="D25" s="61"/>
      <c r="E25" s="1"/>
      <c r="F25" s="1">
        <v>1106.8000000000002</v>
      </c>
      <c r="G25" s="4"/>
    </row>
    <row r="26" spans="1:7" ht="15.75" thickBot="1" x14ac:dyDescent="0.3">
      <c r="A26" s="64" t="s">
        <v>39</v>
      </c>
      <c r="B26" s="90"/>
      <c r="C26" s="1">
        <v>100</v>
      </c>
      <c r="D26" s="61"/>
      <c r="E26" s="1"/>
      <c r="F26" s="1">
        <v>0</v>
      </c>
      <c r="G26" s="4"/>
    </row>
    <row r="27" spans="1:7" ht="15.75" thickTop="1" x14ac:dyDescent="0.25">
      <c r="A27" s="63" t="s">
        <v>40</v>
      </c>
      <c r="B27" s="30"/>
      <c r="C27" s="5">
        <f>SUM(C12:C26)</f>
        <v>10588.54</v>
      </c>
      <c r="D27" s="6">
        <f>SUM(D6:D10)</f>
        <v>10945</v>
      </c>
      <c r="E27" s="5"/>
      <c r="F27" s="5">
        <v>10513.630000000001</v>
      </c>
      <c r="G27" s="7">
        <v>11683</v>
      </c>
    </row>
    <row r="28" spans="1:7" x14ac:dyDescent="0.25">
      <c r="A28" s="31" t="s">
        <v>41</v>
      </c>
      <c r="B28" s="90"/>
      <c r="C28" s="94">
        <f>D27-C27</f>
        <v>356.45999999999913</v>
      </c>
      <c r="D28" s="61"/>
      <c r="E28" s="1"/>
      <c r="F28" s="96">
        <v>1169.369999999999</v>
      </c>
      <c r="G28" s="4"/>
    </row>
    <row r="29" spans="1:7" ht="15.75" thickBot="1" x14ac:dyDescent="0.3">
      <c r="A29" s="31" t="s">
        <v>77</v>
      </c>
      <c r="B29" s="93"/>
      <c r="C29" s="47"/>
      <c r="D29" s="95">
        <f>D5+C28</f>
        <v>1854.4199999999992</v>
      </c>
      <c r="E29" s="96"/>
      <c r="F29" s="47"/>
      <c r="G29" s="32">
        <v>2667.329999999999</v>
      </c>
    </row>
    <row r="30" spans="1:7" ht="16.5" thickTop="1" thickBot="1" x14ac:dyDescent="0.3">
      <c r="A30" s="33" t="s">
        <v>42</v>
      </c>
      <c r="B30" s="34"/>
      <c r="C30" s="35">
        <f>SUM(C27:C28)</f>
        <v>10945</v>
      </c>
      <c r="D30" s="36">
        <f>SUM(D27:D28)</f>
        <v>10945</v>
      </c>
      <c r="E30" s="35"/>
      <c r="F30" s="35">
        <v>11683</v>
      </c>
      <c r="G30" s="37">
        <v>11683</v>
      </c>
    </row>
    <row r="31" spans="1:7" ht="15.75" customHeight="1" thickTop="1" x14ac:dyDescent="0.25">
      <c r="A31" s="28"/>
      <c r="B31" s="28"/>
      <c r="C31" s="28"/>
      <c r="D31" s="28"/>
      <c r="E31" s="28"/>
      <c r="F31" s="28"/>
      <c r="G31" s="28"/>
    </row>
    <row r="32" spans="1:7" ht="16.5" customHeight="1" x14ac:dyDescent="0.25">
      <c r="A32" s="335" t="s">
        <v>106</v>
      </c>
      <c r="B32" s="329"/>
      <c r="C32" s="329"/>
      <c r="D32" s="329"/>
      <c r="E32" s="329"/>
      <c r="F32" s="329"/>
      <c r="G32" s="329"/>
    </row>
    <row r="33" spans="1:7" ht="16.5" customHeight="1" thickBot="1" x14ac:dyDescent="0.3">
      <c r="A33" s="336"/>
      <c r="B33" s="336"/>
      <c r="C33" s="336"/>
      <c r="D33" s="336"/>
      <c r="E33" s="336"/>
      <c r="F33" s="336"/>
      <c r="G33" s="336"/>
    </row>
    <row r="34" spans="1:7" ht="15.75" thickTop="1" x14ac:dyDescent="0.25">
      <c r="A34" s="152"/>
      <c r="B34" s="328" t="s">
        <v>25</v>
      </c>
      <c r="C34" s="329"/>
      <c r="D34" s="330"/>
      <c r="E34" s="328" t="s">
        <v>26</v>
      </c>
      <c r="F34" s="329"/>
      <c r="G34" s="331"/>
    </row>
    <row r="35" spans="1:7" ht="15.75" thickBot="1" x14ac:dyDescent="0.3">
      <c r="A35" s="153" t="s">
        <v>1</v>
      </c>
      <c r="B35" s="154" t="s">
        <v>27</v>
      </c>
      <c r="C35" s="155" t="s">
        <v>2</v>
      </c>
      <c r="D35" s="156" t="s">
        <v>3</v>
      </c>
      <c r="E35" s="155" t="s">
        <v>27</v>
      </c>
      <c r="F35" s="155" t="s">
        <v>2</v>
      </c>
      <c r="G35" s="157" t="s">
        <v>3</v>
      </c>
    </row>
    <row r="36" spans="1:7" ht="15.75" thickBot="1" x14ac:dyDescent="0.3">
      <c r="A36" s="158" t="s">
        <v>28</v>
      </c>
      <c r="B36" s="159"/>
      <c r="C36" s="160"/>
      <c r="D36" s="161">
        <v>1854.42</v>
      </c>
      <c r="E36" s="160"/>
      <c r="F36" s="160"/>
      <c r="G36" s="161">
        <v>2667.33</v>
      </c>
    </row>
    <row r="37" spans="1:7" x14ac:dyDescent="0.25">
      <c r="A37" s="64" t="s">
        <v>29</v>
      </c>
      <c r="B37" s="87">
        <v>70</v>
      </c>
      <c r="C37" s="1"/>
      <c r="D37" s="61">
        <f>100*B37</f>
        <v>7000</v>
      </c>
      <c r="E37" s="127">
        <v>69</v>
      </c>
      <c r="F37" s="162"/>
      <c r="G37" s="163">
        <v>6900</v>
      </c>
    </row>
    <row r="38" spans="1:7" x14ac:dyDescent="0.25">
      <c r="A38" s="64" t="s">
        <v>44</v>
      </c>
      <c r="B38" s="87">
        <v>43</v>
      </c>
      <c r="C38" s="1"/>
      <c r="D38" s="61">
        <f>65*B38</f>
        <v>2795</v>
      </c>
      <c r="E38" s="127">
        <v>50</v>
      </c>
      <c r="F38" s="162"/>
      <c r="G38" s="163">
        <v>3250</v>
      </c>
    </row>
    <row r="39" spans="1:7" x14ac:dyDescent="0.25">
      <c r="A39" s="64" t="s">
        <v>30</v>
      </c>
      <c r="B39" s="87">
        <v>10</v>
      </c>
      <c r="C39" s="1"/>
      <c r="D39" s="61">
        <f>25*B39</f>
        <v>250</v>
      </c>
      <c r="E39" s="127">
        <v>12</v>
      </c>
      <c r="F39" s="162"/>
      <c r="G39" s="163">
        <v>300</v>
      </c>
    </row>
    <row r="40" spans="1:7" x14ac:dyDescent="0.25">
      <c r="A40" s="64" t="s">
        <v>45</v>
      </c>
      <c r="B40" s="87"/>
      <c r="C40" s="1"/>
      <c r="D40" s="61"/>
      <c r="E40" s="127"/>
      <c r="F40" s="162"/>
      <c r="G40" s="163"/>
    </row>
    <row r="41" spans="1:7" x14ac:dyDescent="0.25">
      <c r="A41" s="64" t="s">
        <v>32</v>
      </c>
      <c r="B41" s="87">
        <v>180</v>
      </c>
      <c r="C41" s="1"/>
      <c r="D41" s="61">
        <f>B41*5</f>
        <v>900</v>
      </c>
      <c r="E41" s="164">
        <v>158</v>
      </c>
      <c r="F41" s="165"/>
      <c r="G41" s="166">
        <v>790</v>
      </c>
    </row>
    <row r="42" spans="1:7" x14ac:dyDescent="0.25">
      <c r="A42" s="29" t="s">
        <v>46</v>
      </c>
      <c r="B42" s="87"/>
      <c r="C42" s="1"/>
      <c r="D42" s="61"/>
      <c r="E42" s="164"/>
      <c r="F42" s="165">
        <v>0</v>
      </c>
      <c r="G42" s="166">
        <v>92</v>
      </c>
    </row>
    <row r="43" spans="1:7" x14ac:dyDescent="0.25">
      <c r="A43" s="64" t="s">
        <v>33</v>
      </c>
      <c r="B43" s="89"/>
      <c r="C43" s="1">
        <v>665.57</v>
      </c>
      <c r="D43" s="61"/>
      <c r="E43" s="164"/>
      <c r="F43" s="165">
        <v>665.57</v>
      </c>
      <c r="G43" s="166"/>
    </row>
    <row r="44" spans="1:7" x14ac:dyDescent="0.25">
      <c r="A44" s="64" t="s">
        <v>34</v>
      </c>
      <c r="B44" s="89"/>
      <c r="C44" s="1">
        <f>0.39*(B37+B38+B39)</f>
        <v>47.97</v>
      </c>
      <c r="D44" s="61"/>
      <c r="E44" s="1"/>
      <c r="F44" s="165">
        <v>51.09</v>
      </c>
      <c r="G44" s="166"/>
    </row>
    <row r="45" spans="1:7" x14ac:dyDescent="0.25">
      <c r="A45" s="64" t="s">
        <v>35</v>
      </c>
      <c r="B45" s="90"/>
      <c r="C45" s="1">
        <v>650</v>
      </c>
      <c r="D45" s="61"/>
      <c r="E45" s="164"/>
      <c r="F45" s="165">
        <v>517.59</v>
      </c>
      <c r="G45" s="166"/>
    </row>
    <row r="46" spans="1:7" x14ac:dyDescent="0.25">
      <c r="A46" s="64" t="s">
        <v>36</v>
      </c>
      <c r="B46" s="91"/>
      <c r="C46" s="1">
        <v>2750</v>
      </c>
      <c r="D46" s="61"/>
      <c r="E46" s="164"/>
      <c r="F46" s="165">
        <v>2611.06</v>
      </c>
      <c r="G46" s="166"/>
    </row>
    <row r="47" spans="1:7" x14ac:dyDescent="0.25">
      <c r="A47" s="64" t="s">
        <v>47</v>
      </c>
      <c r="B47" s="91"/>
      <c r="C47" s="1">
        <v>150</v>
      </c>
      <c r="D47" s="61"/>
      <c r="E47" s="164"/>
      <c r="F47" s="165">
        <v>235.34</v>
      </c>
      <c r="G47" s="166"/>
    </row>
    <row r="48" spans="1:7" x14ac:dyDescent="0.25">
      <c r="A48" s="64" t="s">
        <v>48</v>
      </c>
      <c r="B48" s="89"/>
      <c r="C48" s="1">
        <v>50</v>
      </c>
      <c r="D48" s="61"/>
      <c r="E48" s="164"/>
      <c r="F48" s="165">
        <v>45.3</v>
      </c>
      <c r="G48" s="166"/>
    </row>
    <row r="49" spans="1:7" x14ac:dyDescent="0.25">
      <c r="A49" s="64" t="s">
        <v>49</v>
      </c>
      <c r="B49" s="89"/>
      <c r="C49" s="1">
        <v>50</v>
      </c>
      <c r="D49" s="61"/>
      <c r="E49" s="164"/>
      <c r="F49" s="165">
        <v>2.97</v>
      </c>
      <c r="G49" s="166"/>
    </row>
    <row r="50" spans="1:7" x14ac:dyDescent="0.25">
      <c r="A50" s="64" t="s">
        <v>50</v>
      </c>
      <c r="B50" s="90"/>
      <c r="C50" s="1">
        <v>300</v>
      </c>
      <c r="D50" s="61"/>
      <c r="E50" s="164"/>
      <c r="F50" s="165">
        <v>226.6</v>
      </c>
      <c r="G50" s="166"/>
    </row>
    <row r="51" spans="1:7" x14ac:dyDescent="0.25">
      <c r="A51" s="64" t="s">
        <v>37</v>
      </c>
      <c r="B51" s="91"/>
      <c r="C51" s="1">
        <v>2700</v>
      </c>
      <c r="D51" s="61"/>
      <c r="E51" s="164"/>
      <c r="F51" s="165">
        <v>2800.5</v>
      </c>
      <c r="G51" s="166"/>
    </row>
    <row r="52" spans="1:7" x14ac:dyDescent="0.25">
      <c r="A52" s="64" t="s">
        <v>51</v>
      </c>
      <c r="B52" s="91"/>
      <c r="C52" s="1">
        <v>500</v>
      </c>
      <c r="D52" s="61"/>
      <c r="E52" s="164"/>
      <c r="F52" s="165">
        <v>549.5</v>
      </c>
      <c r="G52" s="166"/>
    </row>
    <row r="53" spans="1:7" x14ac:dyDescent="0.25">
      <c r="A53" s="64" t="s">
        <v>38</v>
      </c>
      <c r="B53" s="91"/>
      <c r="C53" s="1">
        <v>200</v>
      </c>
      <c r="D53" s="61"/>
      <c r="E53" s="164"/>
      <c r="F53" s="165">
        <v>15.85</v>
      </c>
      <c r="G53" s="166"/>
    </row>
    <row r="54" spans="1:7" x14ac:dyDescent="0.25">
      <c r="A54" s="64" t="s">
        <v>43</v>
      </c>
      <c r="B54" s="90"/>
      <c r="C54" s="1">
        <v>1000</v>
      </c>
      <c r="D54" s="61"/>
      <c r="E54" s="164"/>
      <c r="F54" s="165">
        <v>868.69</v>
      </c>
      <c r="G54" s="166"/>
    </row>
    <row r="55" spans="1:7" x14ac:dyDescent="0.25">
      <c r="A55" s="64" t="s">
        <v>12</v>
      </c>
      <c r="B55" s="90"/>
      <c r="C55" s="1">
        <v>75</v>
      </c>
      <c r="D55" s="61"/>
      <c r="E55" s="164"/>
      <c r="F55" s="165">
        <v>101.10000000000001</v>
      </c>
      <c r="G55" s="166"/>
    </row>
    <row r="56" spans="1:7" x14ac:dyDescent="0.25">
      <c r="A56" s="64" t="s">
        <v>52</v>
      </c>
      <c r="B56" s="90"/>
      <c r="C56" s="1">
        <v>1350</v>
      </c>
      <c r="D56" s="61"/>
      <c r="E56" s="162"/>
      <c r="F56" s="165">
        <v>1071.92</v>
      </c>
      <c r="G56" s="166"/>
    </row>
    <row r="57" spans="1:7" ht="15.75" thickBot="1" x14ac:dyDescent="0.3">
      <c r="A57" s="64" t="s">
        <v>39</v>
      </c>
      <c r="B57" s="90"/>
      <c r="C57" s="1">
        <v>100</v>
      </c>
      <c r="D57" s="61"/>
      <c r="E57" s="162"/>
      <c r="F57" s="165">
        <v>3.74</v>
      </c>
      <c r="G57" s="166"/>
    </row>
    <row r="58" spans="1:7" x14ac:dyDescent="0.25">
      <c r="A58" s="168" t="s">
        <v>40</v>
      </c>
      <c r="B58" s="168"/>
      <c r="C58" s="167">
        <f>SUM(C36:C57)</f>
        <v>10588.54</v>
      </c>
      <c r="D58" s="169">
        <f>SUM(D37:D57)</f>
        <v>10945</v>
      </c>
      <c r="E58" s="168"/>
      <c r="F58" s="167">
        <v>9766.8200000000015</v>
      </c>
      <c r="G58" s="169">
        <v>11332</v>
      </c>
    </row>
    <row r="59" spans="1:7" x14ac:dyDescent="0.25">
      <c r="A59" s="202" t="s">
        <v>41</v>
      </c>
      <c r="B59" s="171"/>
      <c r="C59" s="170">
        <f>D58-C58</f>
        <v>356.45999999999913</v>
      </c>
      <c r="D59" s="173"/>
      <c r="E59" s="171"/>
      <c r="F59" s="172">
        <v>1565.1799999999985</v>
      </c>
      <c r="G59" s="173"/>
    </row>
    <row r="60" spans="1:7" ht="15.75" thickBot="1" x14ac:dyDescent="0.3">
      <c r="A60" s="203" t="s">
        <v>79</v>
      </c>
      <c r="B60" s="174"/>
      <c r="C60" s="68"/>
      <c r="D60" s="204">
        <f>D36+C59</f>
        <v>2210.8799999999992</v>
      </c>
      <c r="E60" s="174"/>
      <c r="F60" s="175"/>
      <c r="G60" s="176">
        <v>4232.5099999999984</v>
      </c>
    </row>
    <row r="61" spans="1:7" ht="15.75" thickBot="1" x14ac:dyDescent="0.3">
      <c r="A61" s="177" t="s">
        <v>42</v>
      </c>
      <c r="B61" s="178"/>
      <c r="C61" s="179">
        <f t="shared" ref="C61:D61" si="0">SUM(C58:C59)</f>
        <v>10945</v>
      </c>
      <c r="D61" s="180">
        <f t="shared" si="0"/>
        <v>10945</v>
      </c>
      <c r="E61" s="181"/>
      <c r="F61" s="181">
        <v>11332</v>
      </c>
      <c r="G61" s="182">
        <v>11332</v>
      </c>
    </row>
    <row r="62" spans="1:7" ht="15.75" thickTop="1" x14ac:dyDescent="0.25"/>
  </sheetData>
  <mergeCells count="6">
    <mergeCell ref="B34:D34"/>
    <mergeCell ref="E34:G34"/>
    <mergeCell ref="A1:G2"/>
    <mergeCell ref="B3:D3"/>
    <mergeCell ref="E3:G3"/>
    <mergeCell ref="A32:G33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17" workbookViewId="0">
      <selection activeCell="G12" sqref="G12"/>
    </sheetView>
  </sheetViews>
  <sheetFormatPr defaultRowHeight="15" x14ac:dyDescent="0.25"/>
  <cols>
    <col min="1" max="1" width="44.28515625" bestFit="1" customWidth="1"/>
    <col min="2" max="2" width="6.42578125" bestFit="1" customWidth="1"/>
    <col min="3" max="3" width="11.140625" customWidth="1"/>
    <col min="4" max="4" width="11.42578125" customWidth="1"/>
    <col min="6" max="7" width="10.140625" bestFit="1" customWidth="1"/>
  </cols>
  <sheetData>
    <row r="1" spans="1:7" ht="15" customHeight="1" thickBot="1" x14ac:dyDescent="0.3">
      <c r="A1" s="332" t="s">
        <v>107</v>
      </c>
      <c r="B1" s="332"/>
      <c r="C1" s="332"/>
      <c r="D1" s="332"/>
      <c r="E1" s="332"/>
      <c r="F1" s="332"/>
      <c r="G1" s="332"/>
    </row>
    <row r="2" spans="1:7" ht="15.75" customHeight="1" thickTop="1" thickBot="1" x14ac:dyDescent="0.3">
      <c r="A2" s="337"/>
      <c r="B2" s="337"/>
      <c r="C2" s="337"/>
      <c r="D2" s="337"/>
      <c r="E2" s="337"/>
      <c r="F2" s="337"/>
      <c r="G2" s="337"/>
    </row>
    <row r="3" spans="1:7" x14ac:dyDescent="0.25">
      <c r="A3" s="101"/>
      <c r="B3" s="338" t="s">
        <v>25</v>
      </c>
      <c r="C3" s="338"/>
      <c r="D3" s="338"/>
      <c r="E3" s="339" t="s">
        <v>26</v>
      </c>
      <c r="F3" s="339"/>
      <c r="G3" s="340"/>
    </row>
    <row r="4" spans="1:7" ht="15.75" thickBot="1" x14ac:dyDescent="0.3">
      <c r="A4" s="102" t="s">
        <v>1</v>
      </c>
      <c r="B4" s="84" t="s">
        <v>27</v>
      </c>
      <c r="C4" s="2" t="s">
        <v>2</v>
      </c>
      <c r="D4" s="69" t="s">
        <v>3</v>
      </c>
      <c r="E4" s="2" t="s">
        <v>27</v>
      </c>
      <c r="F4" s="2" t="s">
        <v>2</v>
      </c>
      <c r="G4" s="69" t="s">
        <v>3</v>
      </c>
    </row>
    <row r="5" spans="1:7" ht="15.75" thickBot="1" x14ac:dyDescent="0.3">
      <c r="A5" s="85" t="s">
        <v>28</v>
      </c>
      <c r="B5" s="86"/>
      <c r="C5" s="183"/>
      <c r="D5" s="184">
        <v>145.76</v>
      </c>
      <c r="E5" s="185"/>
      <c r="F5" s="183"/>
      <c r="G5" s="186">
        <v>145.76</v>
      </c>
    </row>
    <row r="6" spans="1:7" x14ac:dyDescent="0.25">
      <c r="A6" s="103" t="s">
        <v>29</v>
      </c>
      <c r="B6" s="87">
        <v>30</v>
      </c>
      <c r="C6" s="187"/>
      <c r="D6" s="187">
        <f>B6*70</f>
        <v>2100</v>
      </c>
      <c r="E6" s="188">
        <v>29</v>
      </c>
      <c r="F6" s="187"/>
      <c r="G6" s="189">
        <v>2030</v>
      </c>
    </row>
    <row r="7" spans="1:7" x14ac:dyDescent="0.25">
      <c r="A7" s="103" t="s">
        <v>108</v>
      </c>
      <c r="B7" s="87">
        <v>45</v>
      </c>
      <c r="C7" s="187"/>
      <c r="D7" s="187">
        <f>B7*60</f>
        <v>2700</v>
      </c>
      <c r="E7" s="188">
        <v>47</v>
      </c>
      <c r="F7" s="187"/>
      <c r="G7" s="189">
        <v>2820</v>
      </c>
    </row>
    <row r="8" spans="1:7" x14ac:dyDescent="0.25">
      <c r="A8" s="103" t="s">
        <v>30</v>
      </c>
      <c r="B8" s="87">
        <v>5</v>
      </c>
      <c r="C8" s="187"/>
      <c r="D8" s="187">
        <f>B8*20</f>
        <v>100</v>
      </c>
      <c r="E8" s="188">
        <v>7</v>
      </c>
      <c r="F8" s="187"/>
      <c r="G8" s="189">
        <v>140</v>
      </c>
    </row>
    <row r="9" spans="1:7" x14ac:dyDescent="0.25">
      <c r="A9" s="103" t="s">
        <v>31</v>
      </c>
      <c r="B9" s="87">
        <v>6</v>
      </c>
      <c r="C9" s="187">
        <f>B9*6</f>
        <v>36</v>
      </c>
      <c r="D9" s="187"/>
      <c r="E9" s="188">
        <v>4</v>
      </c>
      <c r="F9" s="187">
        <v>6</v>
      </c>
      <c r="G9" s="189">
        <v>0</v>
      </c>
    </row>
    <row r="10" spans="1:7" x14ac:dyDescent="0.25">
      <c r="A10" s="103" t="s">
        <v>53</v>
      </c>
      <c r="B10" s="87"/>
      <c r="C10" s="187"/>
      <c r="D10" s="187">
        <f>20%*B6*2*20</f>
        <v>240</v>
      </c>
      <c r="E10" s="188" t="s">
        <v>90</v>
      </c>
      <c r="F10" s="187">
        <v>0</v>
      </c>
      <c r="G10" s="189">
        <v>175</v>
      </c>
    </row>
    <row r="11" spans="1:7" x14ac:dyDescent="0.25">
      <c r="A11" s="103" t="s">
        <v>54</v>
      </c>
      <c r="B11" s="87"/>
      <c r="C11" s="187">
        <f>50%*SUM(B6:B9)*10</f>
        <v>430</v>
      </c>
      <c r="D11" s="187">
        <f>50%*SUM(B6:B9)*15</f>
        <v>645</v>
      </c>
      <c r="E11" s="188">
        <v>45</v>
      </c>
      <c r="F11" s="187">
        <v>365.69</v>
      </c>
      <c r="G11" s="189">
        <v>562.5</v>
      </c>
    </row>
    <row r="12" spans="1:7" x14ac:dyDescent="0.25">
      <c r="A12" s="103" t="s">
        <v>45</v>
      </c>
      <c r="B12" s="87"/>
      <c r="C12" s="187"/>
      <c r="D12" s="187">
        <v>0</v>
      </c>
      <c r="E12" s="188"/>
      <c r="F12" s="187">
        <v>0</v>
      </c>
      <c r="G12" s="189">
        <v>0</v>
      </c>
    </row>
    <row r="13" spans="1:7" x14ac:dyDescent="0.25">
      <c r="A13" s="103" t="s">
        <v>80</v>
      </c>
      <c r="B13" s="87"/>
      <c r="C13" s="187"/>
      <c r="D13" s="187">
        <f>50%*B7*5</f>
        <v>112.5</v>
      </c>
      <c r="E13" s="188"/>
      <c r="F13" s="187">
        <v>0</v>
      </c>
      <c r="G13" s="189">
        <v>111</v>
      </c>
    </row>
    <row r="14" spans="1:7" x14ac:dyDescent="0.25">
      <c r="A14" s="70" t="s">
        <v>46</v>
      </c>
      <c r="B14" s="87"/>
      <c r="C14" s="187"/>
      <c r="D14" s="187">
        <v>0</v>
      </c>
      <c r="E14" s="188"/>
      <c r="F14" s="187"/>
      <c r="G14" s="189">
        <v>80</v>
      </c>
    </row>
    <row r="15" spans="1:7" x14ac:dyDescent="0.25">
      <c r="A15" s="103" t="s">
        <v>33</v>
      </c>
      <c r="B15" s="89"/>
      <c r="C15" s="187">
        <v>505.81</v>
      </c>
      <c r="D15" s="187"/>
      <c r="E15" s="188"/>
      <c r="F15" s="187">
        <v>505.81</v>
      </c>
      <c r="G15" s="189">
        <v>0</v>
      </c>
    </row>
    <row r="16" spans="1:7" x14ac:dyDescent="0.25">
      <c r="A16" s="103" t="s">
        <v>34</v>
      </c>
      <c r="B16" s="89"/>
      <c r="C16" s="187">
        <f>SUM(B6:B9)*0.39</f>
        <v>33.54</v>
      </c>
      <c r="D16" s="187"/>
      <c r="E16" s="188"/>
      <c r="F16" s="187">
        <v>34.71</v>
      </c>
      <c r="G16" s="189">
        <v>0</v>
      </c>
    </row>
    <row r="17" spans="1:7" x14ac:dyDescent="0.25">
      <c r="A17" s="103" t="s">
        <v>81</v>
      </c>
      <c r="B17" s="90"/>
      <c r="C17" s="187">
        <f>SUM(B6:B9)*3</f>
        <v>258</v>
      </c>
      <c r="D17" s="187"/>
      <c r="E17" s="188"/>
      <c r="F17" s="187">
        <v>223.01000000000005</v>
      </c>
      <c r="G17" s="189"/>
    </row>
    <row r="18" spans="1:7" x14ac:dyDescent="0.25">
      <c r="A18" s="103" t="s">
        <v>88</v>
      </c>
      <c r="B18" s="91"/>
      <c r="C18" s="187">
        <f>SUM(B6:B9)*14</f>
        <v>1204</v>
      </c>
      <c r="D18" s="187"/>
      <c r="E18" s="188"/>
      <c r="F18" s="187">
        <v>1173.0600000000002</v>
      </c>
      <c r="G18" s="189"/>
    </row>
    <row r="19" spans="1:7" x14ac:dyDescent="0.25">
      <c r="A19" s="103" t="s">
        <v>47</v>
      </c>
      <c r="B19" s="91"/>
      <c r="C19" s="187">
        <v>0</v>
      </c>
      <c r="D19" s="187"/>
      <c r="E19" s="188"/>
      <c r="F19" s="187">
        <v>0</v>
      </c>
      <c r="G19" s="189"/>
    </row>
    <row r="20" spans="1:7" x14ac:dyDescent="0.25">
      <c r="A20" s="103" t="s">
        <v>109</v>
      </c>
      <c r="B20" s="89"/>
      <c r="C20" s="187">
        <v>131</v>
      </c>
      <c r="D20" s="187"/>
      <c r="E20" s="188"/>
      <c r="F20" s="187">
        <v>119.92</v>
      </c>
      <c r="G20" s="189">
        <v>24</v>
      </c>
    </row>
    <row r="21" spans="1:7" x14ac:dyDescent="0.25">
      <c r="A21" s="103" t="s">
        <v>49</v>
      </c>
      <c r="B21" s="89"/>
      <c r="C21" s="187">
        <v>0</v>
      </c>
      <c r="D21" s="187"/>
      <c r="E21" s="190"/>
      <c r="F21" s="187">
        <v>0</v>
      </c>
      <c r="G21" s="189"/>
    </row>
    <row r="22" spans="1:7" x14ac:dyDescent="0.25">
      <c r="A22" s="103" t="s">
        <v>50</v>
      </c>
      <c r="B22" s="90"/>
      <c r="C22" s="187">
        <v>100</v>
      </c>
      <c r="D22" s="187"/>
      <c r="E22" s="190"/>
      <c r="F22" s="187">
        <v>128.32</v>
      </c>
      <c r="G22" s="189"/>
    </row>
    <row r="23" spans="1:7" x14ac:dyDescent="0.25">
      <c r="A23" s="103" t="s">
        <v>37</v>
      </c>
      <c r="B23" s="91"/>
      <c r="C23" s="187">
        <f>1950+275</f>
        <v>2225</v>
      </c>
      <c r="D23" s="187"/>
      <c r="E23" s="190"/>
      <c r="F23" s="187">
        <v>2225</v>
      </c>
      <c r="G23" s="189">
        <v>135</v>
      </c>
    </row>
    <row r="24" spans="1:7" x14ac:dyDescent="0.25">
      <c r="A24" s="103" t="s">
        <v>51</v>
      </c>
      <c r="B24" s="91"/>
      <c r="C24" s="187">
        <v>100</v>
      </c>
      <c r="D24" s="187"/>
      <c r="E24" s="190"/>
      <c r="F24" s="187">
        <v>139.82</v>
      </c>
      <c r="G24" s="189"/>
    </row>
    <row r="25" spans="1:7" x14ac:dyDescent="0.25">
      <c r="A25" s="103" t="s">
        <v>38</v>
      </c>
      <c r="B25" s="91"/>
      <c r="C25" s="187">
        <v>100</v>
      </c>
      <c r="D25" s="187"/>
      <c r="E25" s="190"/>
      <c r="F25" s="187">
        <v>20</v>
      </c>
      <c r="G25" s="189"/>
    </row>
    <row r="26" spans="1:7" x14ac:dyDescent="0.25">
      <c r="A26" s="103" t="s">
        <v>43</v>
      </c>
      <c r="B26" s="90"/>
      <c r="C26" s="187">
        <v>250</v>
      </c>
      <c r="D26" s="187"/>
      <c r="E26" s="190"/>
      <c r="F26" s="187">
        <v>101.62</v>
      </c>
      <c r="G26" s="189"/>
    </row>
    <row r="27" spans="1:7" x14ac:dyDescent="0.25">
      <c r="A27" s="103" t="s">
        <v>12</v>
      </c>
      <c r="B27" s="90"/>
      <c r="C27" s="187">
        <v>75</v>
      </c>
      <c r="D27" s="187"/>
      <c r="E27" s="190"/>
      <c r="F27" s="187">
        <v>68.95</v>
      </c>
      <c r="G27" s="189"/>
    </row>
    <row r="28" spans="1:7" x14ac:dyDescent="0.25">
      <c r="A28" s="103" t="s">
        <v>52</v>
      </c>
      <c r="B28" s="90"/>
      <c r="C28" s="187">
        <v>450</v>
      </c>
      <c r="D28" s="187"/>
      <c r="E28" s="190"/>
      <c r="F28" s="187">
        <v>454.45</v>
      </c>
      <c r="G28" s="189">
        <v>0</v>
      </c>
    </row>
    <row r="29" spans="1:7" ht="15.75" thickBot="1" x14ac:dyDescent="0.3">
      <c r="A29" s="103" t="s">
        <v>39</v>
      </c>
      <c r="B29" s="90"/>
      <c r="C29" s="187">
        <v>200</v>
      </c>
      <c r="D29" s="187"/>
      <c r="E29" s="190"/>
      <c r="F29" s="187">
        <v>0</v>
      </c>
      <c r="G29" s="189">
        <v>0</v>
      </c>
    </row>
    <row r="30" spans="1:7" x14ac:dyDescent="0.25">
      <c r="A30" s="101" t="s">
        <v>40</v>
      </c>
      <c r="B30" s="92"/>
      <c r="C30" s="196">
        <f>SUM(C6:C29)</f>
        <v>6098.35</v>
      </c>
      <c r="D30" s="197">
        <f>SUM(D5:D29)</f>
        <v>6043.26</v>
      </c>
      <c r="E30" s="71"/>
      <c r="F30" s="196">
        <f>SUM(F6:F29)</f>
        <v>5566.36</v>
      </c>
      <c r="G30" s="197">
        <f>SUM(G6:G29)</f>
        <v>6077.5</v>
      </c>
    </row>
    <row r="31" spans="1:7" s="62" customFormat="1" x14ac:dyDescent="0.25">
      <c r="A31" s="200" t="s">
        <v>41</v>
      </c>
      <c r="B31" s="93"/>
      <c r="C31" s="191">
        <f>D30-C30</f>
        <v>-55.090000000000146</v>
      </c>
      <c r="D31" s="192"/>
      <c r="E31" s="72"/>
      <c r="F31" s="193">
        <f>G30-F30</f>
        <v>511.14000000000033</v>
      </c>
      <c r="G31" s="192"/>
    </row>
    <row r="32" spans="1:7" s="62" customFormat="1" ht="15.75" thickBot="1" x14ac:dyDescent="0.3">
      <c r="A32" s="198" t="s">
        <v>79</v>
      </c>
      <c r="B32" s="57"/>
      <c r="C32" s="199"/>
      <c r="D32" s="195">
        <f>D5+C31</f>
        <v>90.669999999999845</v>
      </c>
      <c r="E32" s="201"/>
      <c r="F32" s="194"/>
      <c r="G32" s="195">
        <f>G5+F31</f>
        <v>656.90000000000032</v>
      </c>
    </row>
    <row r="33" spans="1:7" ht="15.75" thickBot="1" x14ac:dyDescent="0.3">
      <c r="A33" s="52" t="s">
        <v>42</v>
      </c>
      <c r="B33" s="52"/>
      <c r="C33" s="194">
        <f>SUM(C30:C32)</f>
        <v>6043.26</v>
      </c>
      <c r="D33" s="195">
        <f>SUM(D30:D31)</f>
        <v>6043.26</v>
      </c>
      <c r="E33" s="53"/>
      <c r="F33" s="194">
        <f>SUM(F30:F32)</f>
        <v>6077.5</v>
      </c>
      <c r="G33" s="195">
        <f>SUM(G30:G31)</f>
        <v>6077.5</v>
      </c>
    </row>
  </sheetData>
  <mergeCells count="3">
    <mergeCell ref="A1:G2"/>
    <mergeCell ref="B3:D3"/>
    <mergeCell ref="E3:G3"/>
  </mergeCells>
  <pageMargins left="0.7" right="0.7" top="0.75" bottom="0.75" header="0.3" footer="0.3"/>
  <pageSetup paperSize="9" orientation="landscape" horizontalDpi="360" verticalDpi="360" r:id="rId1"/>
  <ignoredErrors>
    <ignoredError sqref="G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17" workbookViewId="0">
      <selection activeCell="G30" sqref="G30:G34"/>
    </sheetView>
  </sheetViews>
  <sheetFormatPr defaultRowHeight="15" x14ac:dyDescent="0.25"/>
  <cols>
    <col min="1" max="1" width="44.28515625" bestFit="1" customWidth="1"/>
    <col min="2" max="2" width="8" bestFit="1" customWidth="1"/>
    <col min="3" max="3" width="12" customWidth="1"/>
    <col min="4" max="4" width="11.5703125" customWidth="1"/>
    <col min="6" max="7" width="10.140625" bestFit="1" customWidth="1"/>
  </cols>
  <sheetData>
    <row r="1" spans="1:7" ht="15.75" customHeight="1" x14ac:dyDescent="0.25">
      <c r="A1" s="337" t="s">
        <v>110</v>
      </c>
      <c r="B1" s="337"/>
      <c r="C1" s="337"/>
      <c r="D1" s="337"/>
      <c r="E1" s="337"/>
      <c r="F1" s="337"/>
      <c r="G1" s="337"/>
    </row>
    <row r="2" spans="1:7" ht="16.5" customHeight="1" thickBot="1" x14ac:dyDescent="0.3">
      <c r="A2" s="337"/>
      <c r="B2" s="337"/>
      <c r="C2" s="337"/>
      <c r="D2" s="337"/>
      <c r="E2" s="337"/>
      <c r="F2" s="337"/>
      <c r="G2" s="337"/>
    </row>
    <row r="3" spans="1:7" x14ac:dyDescent="0.25">
      <c r="A3" s="101"/>
      <c r="B3" s="338" t="s">
        <v>25</v>
      </c>
      <c r="C3" s="338"/>
      <c r="D3" s="338"/>
      <c r="E3" s="338" t="s">
        <v>26</v>
      </c>
      <c r="F3" s="338"/>
      <c r="G3" s="338"/>
    </row>
    <row r="4" spans="1:7" ht="15.75" thickBot="1" x14ac:dyDescent="0.3">
      <c r="A4" s="102" t="s">
        <v>1</v>
      </c>
      <c r="B4" s="84" t="s">
        <v>27</v>
      </c>
      <c r="C4" s="2" t="s">
        <v>2</v>
      </c>
      <c r="D4" s="69" t="s">
        <v>3</v>
      </c>
      <c r="E4" s="2" t="s">
        <v>27</v>
      </c>
      <c r="F4" s="2" t="s">
        <v>2</v>
      </c>
      <c r="G4" s="69" t="s">
        <v>3</v>
      </c>
    </row>
    <row r="5" spans="1:7" ht="15.75" thickBot="1" x14ac:dyDescent="0.3">
      <c r="A5" s="205" t="s">
        <v>28</v>
      </c>
      <c r="B5" s="86"/>
      <c r="C5" s="206"/>
      <c r="D5" s="207">
        <v>499.02</v>
      </c>
      <c r="E5" s="49"/>
      <c r="F5" s="49"/>
      <c r="G5" s="207">
        <v>499.02</v>
      </c>
    </row>
    <row r="6" spans="1:7" x14ac:dyDescent="0.25">
      <c r="A6" s="103" t="s">
        <v>29</v>
      </c>
      <c r="B6" s="87">
        <v>23</v>
      </c>
      <c r="C6" s="88"/>
      <c r="D6" s="61">
        <f>30*B6</f>
        <v>690</v>
      </c>
      <c r="E6" s="87">
        <v>27</v>
      </c>
      <c r="F6" s="88"/>
      <c r="G6" s="61">
        <f>30*E6</f>
        <v>810</v>
      </c>
    </row>
    <row r="7" spans="1:7" x14ac:dyDescent="0.25">
      <c r="A7" s="103" t="s">
        <v>30</v>
      </c>
      <c r="B7" s="87">
        <v>6</v>
      </c>
      <c r="C7" s="88"/>
      <c r="D7" s="61">
        <f>B7*10</f>
        <v>60</v>
      </c>
      <c r="E7" s="87">
        <v>7</v>
      </c>
      <c r="F7" s="88"/>
      <c r="G7" s="61">
        <f>E7*5</f>
        <v>35</v>
      </c>
    </row>
    <row r="8" spans="1:7" x14ac:dyDescent="0.25">
      <c r="A8" s="103" t="s">
        <v>31</v>
      </c>
      <c r="B8" s="87">
        <v>2</v>
      </c>
      <c r="C8" s="1">
        <f>B8*6</f>
        <v>12</v>
      </c>
      <c r="D8" s="61">
        <v>0</v>
      </c>
      <c r="E8" s="87">
        <v>2</v>
      </c>
      <c r="F8" s="1">
        <f>E8*6</f>
        <v>12</v>
      </c>
      <c r="G8" s="61">
        <v>0</v>
      </c>
    </row>
    <row r="9" spans="1:7" x14ac:dyDescent="0.25">
      <c r="A9" s="103" t="s">
        <v>32</v>
      </c>
      <c r="B9" s="87">
        <v>60</v>
      </c>
      <c r="C9" s="1"/>
      <c r="D9" s="61">
        <f>B9*5</f>
        <v>300</v>
      </c>
      <c r="E9" s="87">
        <v>53</v>
      </c>
      <c r="F9" s="1"/>
      <c r="G9" s="61">
        <f>5*E9</f>
        <v>265</v>
      </c>
    </row>
    <row r="10" spans="1:7" x14ac:dyDescent="0.25">
      <c r="A10" s="103" t="s">
        <v>33</v>
      </c>
      <c r="B10" s="208"/>
      <c r="C10" s="1">
        <v>53.24</v>
      </c>
      <c r="D10" s="61"/>
      <c r="E10" s="208"/>
      <c r="F10" s="1">
        <v>53.24</v>
      </c>
      <c r="G10" s="61"/>
    </row>
    <row r="11" spans="1:7" x14ac:dyDescent="0.25">
      <c r="A11" s="103" t="s">
        <v>34</v>
      </c>
      <c r="B11" s="208"/>
      <c r="C11" s="1">
        <f>0.1*SUM(B6:B8)</f>
        <v>3.1</v>
      </c>
      <c r="D11" s="61"/>
      <c r="E11" s="208"/>
      <c r="F11" s="1">
        <f>0.1*SUM(E6:E8)</f>
        <v>3.6</v>
      </c>
      <c r="G11" s="61"/>
    </row>
    <row r="12" spans="1:7" x14ac:dyDescent="0.25">
      <c r="A12" s="103" t="s">
        <v>35</v>
      </c>
      <c r="B12" s="90"/>
      <c r="C12" s="1">
        <v>240</v>
      </c>
      <c r="D12" s="61"/>
      <c r="E12" s="90"/>
      <c r="F12" s="1">
        <v>227.69</v>
      </c>
      <c r="G12" s="61"/>
    </row>
    <row r="13" spans="1:7" x14ac:dyDescent="0.25">
      <c r="A13" s="103" t="s">
        <v>88</v>
      </c>
      <c r="B13" s="91"/>
      <c r="C13" s="1">
        <f>SUM(B6:B8)*7.5</f>
        <v>232.5</v>
      </c>
      <c r="D13" s="61"/>
      <c r="E13" s="91"/>
      <c r="F13" s="1">
        <v>228.94</v>
      </c>
      <c r="G13" s="61"/>
    </row>
    <row r="14" spans="1:7" x14ac:dyDescent="0.25">
      <c r="A14" s="103" t="s">
        <v>89</v>
      </c>
      <c r="B14" s="91"/>
      <c r="C14" s="1">
        <f>SUM(B6:B8)</f>
        <v>31</v>
      </c>
      <c r="D14" s="61"/>
      <c r="E14" s="91"/>
      <c r="F14" s="1">
        <v>67.03</v>
      </c>
      <c r="G14" s="61"/>
    </row>
    <row r="15" spans="1:7" x14ac:dyDescent="0.25">
      <c r="A15" s="103" t="s">
        <v>37</v>
      </c>
      <c r="B15" s="91"/>
      <c r="C15" s="1">
        <v>450</v>
      </c>
      <c r="D15" s="61"/>
      <c r="E15" s="91"/>
      <c r="F15" s="1">
        <v>450</v>
      </c>
      <c r="G15" s="61"/>
    </row>
    <row r="16" spans="1:7" x14ac:dyDescent="0.25">
      <c r="A16" s="103" t="s">
        <v>38</v>
      </c>
      <c r="B16" s="91"/>
      <c r="C16" s="1">
        <v>10</v>
      </c>
      <c r="D16" s="61"/>
      <c r="E16" s="91"/>
      <c r="F16" s="1"/>
      <c r="G16" s="61"/>
    </row>
    <row r="17" spans="1:7" x14ac:dyDescent="0.25">
      <c r="A17" s="103" t="s">
        <v>52</v>
      </c>
      <c r="B17" s="91"/>
      <c r="C17" s="1">
        <v>75</v>
      </c>
      <c r="D17" s="61"/>
      <c r="E17" s="91"/>
      <c r="F17" s="1"/>
      <c r="G17" s="61"/>
    </row>
    <row r="18" spans="1:7" x14ac:dyDescent="0.25">
      <c r="A18" s="103" t="s">
        <v>43</v>
      </c>
      <c r="B18" s="91"/>
      <c r="C18" s="1">
        <v>0</v>
      </c>
      <c r="D18" s="61"/>
      <c r="E18" s="91"/>
      <c r="F18" s="1"/>
      <c r="G18" s="61"/>
    </row>
    <row r="19" spans="1:7" ht="15.75" thickBot="1" x14ac:dyDescent="0.3">
      <c r="A19" s="103" t="s">
        <v>39</v>
      </c>
      <c r="B19" s="90"/>
      <c r="C19" s="209"/>
      <c r="D19" s="61"/>
      <c r="E19" s="90"/>
      <c r="F19" s="209"/>
      <c r="G19" s="61"/>
    </row>
    <row r="20" spans="1:7" s="28" customFormat="1" ht="15.75" thickTop="1" x14ac:dyDescent="0.25">
      <c r="A20" s="104" t="s">
        <v>40</v>
      </c>
      <c r="B20" s="92"/>
      <c r="C20" s="55">
        <f>SUM(C6:C19)</f>
        <v>1106.8400000000001</v>
      </c>
      <c r="D20" s="56">
        <f>SUM(D6:D9)</f>
        <v>1050</v>
      </c>
      <c r="E20" s="92"/>
      <c r="F20" s="55">
        <f>SUM(F6:F19)</f>
        <v>1042.5</v>
      </c>
      <c r="G20" s="56">
        <f>SUM(G6:G9)</f>
        <v>1110</v>
      </c>
    </row>
    <row r="21" spans="1:7" x14ac:dyDescent="0.25">
      <c r="A21" s="105" t="s">
        <v>41</v>
      </c>
      <c r="B21" s="93"/>
      <c r="C21" s="94">
        <f>D20-C20</f>
        <v>-56.840000000000146</v>
      </c>
      <c r="D21" s="95"/>
      <c r="E21" s="93"/>
      <c r="F21" s="94">
        <f>G20-F20</f>
        <v>67.5</v>
      </c>
      <c r="G21" s="95"/>
    </row>
    <row r="22" spans="1:7" ht="16.5" customHeight="1" thickBot="1" x14ac:dyDescent="0.3">
      <c r="A22" s="105" t="s">
        <v>79</v>
      </c>
      <c r="B22" s="93"/>
      <c r="C22" s="96">
        <f>C21+D5</f>
        <v>442.17999999999984</v>
      </c>
      <c r="D22" s="97"/>
      <c r="E22" s="93"/>
      <c r="F22" s="96">
        <f>F21+G5</f>
        <v>566.52</v>
      </c>
      <c r="G22" s="97"/>
    </row>
    <row r="23" spans="1:7" ht="16.5" customHeight="1" thickTop="1" thickBot="1" x14ac:dyDescent="0.3">
      <c r="A23" s="106" t="s">
        <v>42</v>
      </c>
      <c r="B23" s="98"/>
      <c r="C23" s="99">
        <f>SUM(C20:C21)</f>
        <v>1050</v>
      </c>
      <c r="D23" s="100">
        <f>SUM(D20:D21)</f>
        <v>1050</v>
      </c>
      <c r="E23" s="98"/>
      <c r="F23" s="99">
        <f>SUM(F20:F21)</f>
        <v>1110</v>
      </c>
      <c r="G23" s="100">
        <f>SUM(G20:G21)</f>
        <v>1110</v>
      </c>
    </row>
    <row r="24" spans="1:7" s="62" customFormat="1" ht="16.5" customHeight="1" x14ac:dyDescent="0.25">
      <c r="A24" s="210"/>
      <c r="B24" s="210"/>
      <c r="C24" s="96"/>
      <c r="D24" s="96"/>
      <c r="E24" s="210"/>
      <c r="F24" s="96"/>
      <c r="G24" s="96"/>
    </row>
    <row r="25" spans="1:7" ht="15" customHeight="1" x14ac:dyDescent="0.25">
      <c r="A25" s="337" t="s">
        <v>111</v>
      </c>
      <c r="B25" s="337"/>
      <c r="C25" s="337"/>
      <c r="D25" s="337"/>
      <c r="E25" s="337"/>
      <c r="F25" s="337"/>
      <c r="G25" s="337"/>
    </row>
    <row r="26" spans="1:7" ht="15.75" thickBot="1" x14ac:dyDescent="0.3">
      <c r="A26" s="337"/>
      <c r="B26" s="337"/>
      <c r="C26" s="337"/>
      <c r="D26" s="337"/>
      <c r="E26" s="337"/>
      <c r="F26" s="337"/>
      <c r="G26" s="337"/>
    </row>
    <row r="27" spans="1:7" x14ac:dyDescent="0.25">
      <c r="A27" s="101"/>
      <c r="B27" s="338" t="s">
        <v>25</v>
      </c>
      <c r="C27" s="338"/>
      <c r="D27" s="338"/>
      <c r="E27" s="338" t="s">
        <v>26</v>
      </c>
      <c r="F27" s="338"/>
      <c r="G27" s="338"/>
    </row>
    <row r="28" spans="1:7" ht="15.75" thickBot="1" x14ac:dyDescent="0.3">
      <c r="A28" s="102" t="s">
        <v>1</v>
      </c>
      <c r="B28" s="84" t="s">
        <v>27</v>
      </c>
      <c r="C28" s="2" t="s">
        <v>2</v>
      </c>
      <c r="D28" s="69" t="s">
        <v>3</v>
      </c>
      <c r="E28" s="2" t="s">
        <v>27</v>
      </c>
      <c r="F28" s="2" t="s">
        <v>2</v>
      </c>
      <c r="G28" s="69" t="s">
        <v>3</v>
      </c>
    </row>
    <row r="29" spans="1:7" ht="15.75" thickBot="1" x14ac:dyDescent="0.3">
      <c r="A29" s="205" t="s">
        <v>28</v>
      </c>
      <c r="B29" s="86"/>
      <c r="C29" s="206"/>
      <c r="D29" s="207">
        <v>442.18</v>
      </c>
      <c r="E29" s="49"/>
      <c r="F29" s="49"/>
      <c r="G29" s="207">
        <v>566.52</v>
      </c>
    </row>
    <row r="30" spans="1:7" x14ac:dyDescent="0.25">
      <c r="A30" s="103" t="s">
        <v>29</v>
      </c>
      <c r="B30" s="87">
        <v>25</v>
      </c>
      <c r="C30" s="88"/>
      <c r="D30" s="61">
        <f>30*B30</f>
        <v>750</v>
      </c>
      <c r="E30" s="87">
        <v>38</v>
      </c>
      <c r="F30" s="88"/>
      <c r="G30" s="61">
        <v>950</v>
      </c>
    </row>
    <row r="31" spans="1:7" x14ac:dyDescent="0.25">
      <c r="A31" s="103" t="s">
        <v>30</v>
      </c>
      <c r="B31" s="87">
        <v>5</v>
      </c>
      <c r="C31" s="88"/>
      <c r="D31" s="61">
        <f>B31*10</f>
        <v>50</v>
      </c>
      <c r="E31" s="87">
        <v>7</v>
      </c>
      <c r="F31" s="88"/>
      <c r="G31" s="61">
        <v>35</v>
      </c>
    </row>
    <row r="32" spans="1:7" x14ac:dyDescent="0.25">
      <c r="A32" s="103" t="s">
        <v>112</v>
      </c>
      <c r="B32" s="87">
        <v>2</v>
      </c>
      <c r="C32" s="1">
        <f>B32*6</f>
        <v>12</v>
      </c>
      <c r="D32" s="61">
        <v>0</v>
      </c>
      <c r="E32" s="87">
        <v>1</v>
      </c>
      <c r="F32" s="1">
        <v>6</v>
      </c>
      <c r="G32" s="61">
        <v>0</v>
      </c>
    </row>
    <row r="33" spans="1:7" x14ac:dyDescent="0.25">
      <c r="A33" s="103" t="s">
        <v>32</v>
      </c>
      <c r="B33" s="87">
        <v>60</v>
      </c>
      <c r="C33" s="1"/>
      <c r="D33" s="61">
        <f>B33*5</f>
        <v>300</v>
      </c>
      <c r="E33" s="87">
        <v>86</v>
      </c>
      <c r="F33" s="1"/>
      <c r="G33" s="61">
        <v>430</v>
      </c>
    </row>
    <row r="34" spans="1:7" x14ac:dyDescent="0.25">
      <c r="A34" s="103" t="s">
        <v>113</v>
      </c>
      <c r="B34" s="87"/>
      <c r="C34" s="1"/>
      <c r="D34" s="61">
        <v>0</v>
      </c>
      <c r="E34" s="87">
        <v>1</v>
      </c>
      <c r="F34" s="1"/>
      <c r="G34" s="61">
        <v>20.45</v>
      </c>
    </row>
    <row r="35" spans="1:7" x14ac:dyDescent="0.25">
      <c r="A35" s="103" t="s">
        <v>33</v>
      </c>
      <c r="B35" s="211"/>
      <c r="C35" s="1">
        <v>53.24</v>
      </c>
      <c r="D35" s="61"/>
      <c r="E35" s="211"/>
      <c r="F35" s="1">
        <v>53.24</v>
      </c>
      <c r="G35" s="61"/>
    </row>
    <row r="36" spans="1:7" x14ac:dyDescent="0.25">
      <c r="A36" s="103" t="s">
        <v>34</v>
      </c>
      <c r="B36" s="211"/>
      <c r="C36" s="1">
        <f>0.1*SUM(B30:B32)</f>
        <v>3.2</v>
      </c>
      <c r="D36" s="61"/>
      <c r="E36" s="211"/>
      <c r="F36" s="1">
        <v>4.6000000000000005</v>
      </c>
      <c r="G36" s="61"/>
    </row>
    <row r="37" spans="1:7" x14ac:dyDescent="0.25">
      <c r="A37" s="103" t="s">
        <v>35</v>
      </c>
      <c r="B37" s="90"/>
      <c r="C37" s="1">
        <v>240</v>
      </c>
      <c r="D37" s="61"/>
      <c r="E37" s="90"/>
      <c r="F37" s="1">
        <v>271.93999999999994</v>
      </c>
      <c r="G37" s="61"/>
    </row>
    <row r="38" spans="1:7" x14ac:dyDescent="0.25">
      <c r="A38" s="103" t="s">
        <v>88</v>
      </c>
      <c r="B38" s="91"/>
      <c r="C38" s="1">
        <f>SUM(B30:B32)*7.5</f>
        <v>240</v>
      </c>
      <c r="D38" s="61"/>
      <c r="E38" s="91"/>
      <c r="F38" s="1">
        <v>319.41999999999996</v>
      </c>
      <c r="G38" s="61"/>
    </row>
    <row r="39" spans="1:7" x14ac:dyDescent="0.25">
      <c r="A39" s="103" t="s">
        <v>89</v>
      </c>
      <c r="B39" s="91"/>
      <c r="C39" s="1">
        <f>SUM(B30:B32)*1.5</f>
        <v>48</v>
      </c>
      <c r="D39" s="61"/>
      <c r="E39" s="91"/>
      <c r="F39" s="1">
        <v>34.92</v>
      </c>
      <c r="G39" s="61"/>
    </row>
    <row r="40" spans="1:7" x14ac:dyDescent="0.25">
      <c r="A40" s="103" t="s">
        <v>37</v>
      </c>
      <c r="B40" s="91"/>
      <c r="C40" s="1">
        <v>795</v>
      </c>
      <c r="D40" s="61"/>
      <c r="E40" s="91"/>
      <c r="F40" s="1">
        <v>795</v>
      </c>
      <c r="G40" s="61"/>
    </row>
    <row r="41" spans="1:7" x14ac:dyDescent="0.25">
      <c r="A41" s="103" t="s">
        <v>38</v>
      </c>
      <c r="B41" s="91"/>
      <c r="C41" s="1">
        <v>10</v>
      </c>
      <c r="D41" s="61"/>
      <c r="E41" s="91"/>
      <c r="F41" s="1">
        <v>20.88</v>
      </c>
      <c r="G41" s="61"/>
    </row>
    <row r="42" spans="1:7" s="28" customFormat="1" x14ac:dyDescent="0.25">
      <c r="A42" s="103" t="s">
        <v>52</v>
      </c>
      <c r="B42" s="91"/>
      <c r="C42" s="1">
        <v>75</v>
      </c>
      <c r="D42" s="61"/>
      <c r="E42" s="91"/>
      <c r="F42" s="1">
        <v>22.5</v>
      </c>
      <c r="G42" s="61"/>
    </row>
    <row r="43" spans="1:7" x14ac:dyDescent="0.25">
      <c r="A43" s="103" t="s">
        <v>43</v>
      </c>
      <c r="B43" s="91"/>
      <c r="C43" s="1">
        <v>0</v>
      </c>
      <c r="D43" s="61"/>
      <c r="E43" s="91"/>
      <c r="F43" s="1"/>
      <c r="G43" s="61"/>
    </row>
    <row r="44" spans="1:7" ht="15.75" thickBot="1" x14ac:dyDescent="0.3">
      <c r="A44" s="103" t="s">
        <v>39</v>
      </c>
      <c r="B44" s="90"/>
      <c r="C44" s="209"/>
      <c r="D44" s="61"/>
      <c r="E44" s="90"/>
      <c r="F44" s="212">
        <v>1</v>
      </c>
      <c r="G44" s="61"/>
    </row>
    <row r="45" spans="1:7" ht="15.75" thickTop="1" x14ac:dyDescent="0.25">
      <c r="A45" s="104" t="s">
        <v>40</v>
      </c>
      <c r="B45" s="92"/>
      <c r="C45" s="55">
        <f>SUM(C30:C44)</f>
        <v>1476.44</v>
      </c>
      <c r="D45" s="56">
        <f>SUM(D30:D33)</f>
        <v>1100</v>
      </c>
      <c r="E45" s="92"/>
      <c r="F45" s="55">
        <f>SUM(F30:F44)</f>
        <v>1529.5</v>
      </c>
      <c r="G45" s="56">
        <f>SUM(G30:G44)</f>
        <v>1435.45</v>
      </c>
    </row>
    <row r="46" spans="1:7" x14ac:dyDescent="0.25">
      <c r="A46" s="105" t="s">
        <v>41</v>
      </c>
      <c r="B46" s="93"/>
      <c r="C46" s="94">
        <f>D45-C45</f>
        <v>-376.44000000000005</v>
      </c>
      <c r="D46" s="95"/>
      <c r="E46" s="93"/>
      <c r="F46" s="94">
        <f>G45-F45</f>
        <v>-94.049999999999955</v>
      </c>
      <c r="G46" s="95"/>
    </row>
    <row r="47" spans="1:7" ht="15.75" thickBot="1" x14ac:dyDescent="0.3">
      <c r="A47" s="105" t="s">
        <v>79</v>
      </c>
      <c r="B47" s="93"/>
      <c r="C47" s="96">
        <f>C46+D29</f>
        <v>65.739999999999952</v>
      </c>
      <c r="D47" s="97"/>
      <c r="E47" s="93"/>
      <c r="F47" s="96">
        <f>F46+G29</f>
        <v>472.47</v>
      </c>
      <c r="G47" s="97"/>
    </row>
    <row r="48" spans="1:7" ht="16.5" thickTop="1" thickBot="1" x14ac:dyDescent="0.3">
      <c r="A48" s="106" t="s">
        <v>42</v>
      </c>
      <c r="B48" s="98"/>
      <c r="C48" s="99">
        <f>SUM(C45:C46)</f>
        <v>1100</v>
      </c>
      <c r="D48" s="100">
        <f>SUM(D45:D46)</f>
        <v>1100</v>
      </c>
      <c r="E48" s="98"/>
      <c r="F48" s="99">
        <f>SUM(F45:F46)</f>
        <v>1435.45</v>
      </c>
      <c r="G48" s="100">
        <f>SUM(G45:G46)</f>
        <v>1435.45</v>
      </c>
    </row>
  </sheetData>
  <mergeCells count="6">
    <mergeCell ref="A1:G2"/>
    <mergeCell ref="B3:D3"/>
    <mergeCell ref="E3:G3"/>
    <mergeCell ref="A25:G26"/>
    <mergeCell ref="B27:D27"/>
    <mergeCell ref="E27:G27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16" sqref="I16"/>
    </sheetView>
  </sheetViews>
  <sheetFormatPr defaultRowHeight="15" x14ac:dyDescent="0.25"/>
  <cols>
    <col min="1" max="1" width="44.28515625" bestFit="1" customWidth="1"/>
    <col min="2" max="2" width="6.42578125" bestFit="1" customWidth="1"/>
    <col min="3" max="4" width="10.42578125" bestFit="1" customWidth="1"/>
    <col min="6" max="7" width="10.42578125" bestFit="1" customWidth="1"/>
  </cols>
  <sheetData>
    <row r="1" spans="1:7" ht="15" customHeight="1" x14ac:dyDescent="0.25">
      <c r="A1" s="335" t="s">
        <v>114</v>
      </c>
      <c r="B1" s="329"/>
      <c r="C1" s="329"/>
      <c r="D1" s="329"/>
      <c r="E1" s="329"/>
      <c r="F1" s="329"/>
      <c r="G1" s="329"/>
    </row>
    <row r="2" spans="1:7" ht="15.75" thickBot="1" x14ac:dyDescent="0.3">
      <c r="A2" s="341"/>
      <c r="B2" s="341"/>
      <c r="C2" s="341"/>
      <c r="D2" s="341"/>
      <c r="E2" s="341"/>
      <c r="F2" s="341"/>
      <c r="G2" s="341"/>
    </row>
    <row r="3" spans="1:7" ht="15.75" thickTop="1" x14ac:dyDescent="0.25">
      <c r="A3" s="213"/>
      <c r="B3" s="342" t="s">
        <v>25</v>
      </c>
      <c r="C3" s="343"/>
      <c r="D3" s="344"/>
      <c r="E3" s="345" t="s">
        <v>26</v>
      </c>
      <c r="F3" s="346"/>
      <c r="G3" s="347"/>
    </row>
    <row r="4" spans="1:7" ht="15.75" thickBot="1" x14ac:dyDescent="0.3">
      <c r="A4" s="214" t="s">
        <v>1</v>
      </c>
      <c r="B4" s="108" t="s">
        <v>27</v>
      </c>
      <c r="C4" s="109" t="s">
        <v>2</v>
      </c>
      <c r="D4" s="110" t="s">
        <v>3</v>
      </c>
      <c r="E4" s="109" t="s">
        <v>27</v>
      </c>
      <c r="F4" s="109" t="s">
        <v>2</v>
      </c>
      <c r="G4" s="215" t="s">
        <v>3</v>
      </c>
    </row>
    <row r="5" spans="1:7" ht="15.75" thickBot="1" x14ac:dyDescent="0.3">
      <c r="A5" s="216" t="s">
        <v>28</v>
      </c>
      <c r="B5" s="111"/>
      <c r="C5" s="217"/>
      <c r="D5" s="218"/>
      <c r="E5" s="219"/>
      <c r="F5" s="219"/>
      <c r="G5" s="220"/>
    </row>
    <row r="6" spans="1:7" x14ac:dyDescent="0.25">
      <c r="A6" s="221" t="s">
        <v>29</v>
      </c>
      <c r="B6" s="222">
        <v>32</v>
      </c>
      <c r="C6" s="223"/>
      <c r="D6" s="224">
        <f>B6*175</f>
        <v>5600</v>
      </c>
      <c r="E6" s="225"/>
      <c r="F6" s="226"/>
      <c r="G6" s="227">
        <f>B6*175</f>
        <v>5600</v>
      </c>
    </row>
    <row r="7" spans="1:7" x14ac:dyDescent="0.25">
      <c r="A7" s="221" t="s">
        <v>30</v>
      </c>
      <c r="B7" s="222">
        <v>6</v>
      </c>
      <c r="C7" s="223"/>
      <c r="D7" s="224">
        <f>B7*125</f>
        <v>750</v>
      </c>
      <c r="E7" s="228"/>
      <c r="F7" s="224"/>
      <c r="G7" s="229">
        <f>B7*125</f>
        <v>750</v>
      </c>
    </row>
    <row r="8" spans="1:7" x14ac:dyDescent="0.25">
      <c r="A8" s="221" t="s">
        <v>115</v>
      </c>
      <c r="B8" s="222"/>
      <c r="C8" s="223"/>
      <c r="D8" s="224"/>
      <c r="E8" s="228"/>
      <c r="F8" s="224"/>
      <c r="G8" s="229">
        <v>12</v>
      </c>
    </row>
    <row r="9" spans="1:7" x14ac:dyDescent="0.25">
      <c r="A9" s="221" t="s">
        <v>33</v>
      </c>
      <c r="B9" s="230"/>
      <c r="C9" s="231">
        <f>85.19</f>
        <v>85.19</v>
      </c>
      <c r="D9" s="224"/>
      <c r="E9" s="228"/>
      <c r="F9" s="232">
        <f>85.19</f>
        <v>85.19</v>
      </c>
      <c r="G9" s="229"/>
    </row>
    <row r="10" spans="1:7" x14ac:dyDescent="0.25">
      <c r="A10" s="221" t="s">
        <v>34</v>
      </c>
      <c r="B10" s="230"/>
      <c r="C10" s="231">
        <f>0.19*SUM(B6:B7)</f>
        <v>7.22</v>
      </c>
      <c r="D10" s="224"/>
      <c r="E10" s="228"/>
      <c r="F10" s="232">
        <f>0.19*SUM(B6:B7)</f>
        <v>7.22</v>
      </c>
      <c r="G10" s="229"/>
    </row>
    <row r="11" spans="1:7" x14ac:dyDescent="0.25">
      <c r="A11" s="221" t="s">
        <v>116</v>
      </c>
      <c r="B11" s="233"/>
      <c r="C11" s="231">
        <f>38*27</f>
        <v>1026</v>
      </c>
      <c r="D11" s="224"/>
      <c r="E11" s="228"/>
      <c r="F11" s="232">
        <v>1242.8399999999999</v>
      </c>
      <c r="G11" s="229"/>
    </row>
    <row r="12" spans="1:7" x14ac:dyDescent="0.25">
      <c r="A12" s="221" t="s">
        <v>37</v>
      </c>
      <c r="B12" s="230"/>
      <c r="C12" s="234">
        <v>4300</v>
      </c>
      <c r="D12" s="224"/>
      <c r="E12" s="235"/>
      <c r="F12" s="224">
        <v>4320</v>
      </c>
      <c r="G12" s="229"/>
    </row>
    <row r="13" spans="1:7" x14ac:dyDescent="0.25">
      <c r="A13" s="221" t="s">
        <v>117</v>
      </c>
      <c r="B13" s="230"/>
      <c r="C13" s="234">
        <v>450</v>
      </c>
      <c r="D13" s="224"/>
      <c r="E13" s="235"/>
      <c r="F13" s="224">
        <v>458.1</v>
      </c>
      <c r="G13" s="229"/>
    </row>
    <row r="14" spans="1:7" ht="15.75" thickBot="1" x14ac:dyDescent="0.3">
      <c r="A14" s="221" t="s">
        <v>39</v>
      </c>
      <c r="B14" s="233"/>
      <c r="C14" s="224">
        <v>450</v>
      </c>
      <c r="D14" s="224"/>
      <c r="E14" s="235"/>
      <c r="F14" s="224"/>
      <c r="G14" s="229"/>
    </row>
    <row r="15" spans="1:7" x14ac:dyDescent="0.25">
      <c r="A15" s="236" t="s">
        <v>40</v>
      </c>
      <c r="B15" s="237"/>
      <c r="C15" s="226">
        <f>SUM(C5:C14)</f>
        <v>6318.41</v>
      </c>
      <c r="D15" s="238">
        <f>SUM(D6:D14)</f>
        <v>6350</v>
      </c>
      <c r="E15" s="226"/>
      <c r="F15" s="226">
        <f>SUM(F6:F14)</f>
        <v>6113.35</v>
      </c>
      <c r="G15" s="227">
        <f>SUM(G6:G14)</f>
        <v>6362</v>
      </c>
    </row>
    <row r="16" spans="1:7" x14ac:dyDescent="0.25">
      <c r="A16" s="239" t="s">
        <v>41</v>
      </c>
      <c r="B16" s="240"/>
      <c r="C16" s="241">
        <f>D15-C15</f>
        <v>31.590000000000146</v>
      </c>
      <c r="D16" s="242"/>
      <c r="E16" s="243"/>
      <c r="F16" s="241">
        <f>G15-F15</f>
        <v>248.64999999999964</v>
      </c>
      <c r="G16" s="244"/>
    </row>
    <row r="17" spans="1:7" ht="15.75" thickBot="1" x14ac:dyDescent="0.3">
      <c r="A17" s="245" t="s">
        <v>79</v>
      </c>
      <c r="B17" s="246"/>
      <c r="C17" s="247">
        <f>(D5+C16)</f>
        <v>31.590000000000146</v>
      </c>
      <c r="D17" s="248"/>
      <c r="E17" s="247"/>
      <c r="F17" s="247">
        <f>(G5+F16)</f>
        <v>248.64999999999964</v>
      </c>
      <c r="G17" s="249"/>
    </row>
    <row r="18" spans="1:7" ht="15.75" thickBot="1" x14ac:dyDescent="0.3">
      <c r="A18" s="250" t="s">
        <v>42</v>
      </c>
      <c r="B18" s="251"/>
      <c r="C18" s="252">
        <f t="shared" ref="C18:D18" si="0">SUM(C15:C16)</f>
        <v>6350</v>
      </c>
      <c r="D18" s="253">
        <f t="shared" si="0"/>
        <v>6350</v>
      </c>
      <c r="E18" s="252"/>
      <c r="F18" s="252">
        <f t="shared" ref="F18:G18" si="1">SUM(F15:F16)</f>
        <v>6362</v>
      </c>
      <c r="G18" s="254">
        <f t="shared" si="1"/>
        <v>6362</v>
      </c>
    </row>
  </sheetData>
  <mergeCells count="3">
    <mergeCell ref="A1:G2"/>
    <mergeCell ref="B3:D3"/>
    <mergeCell ref="E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I17" sqref="I17"/>
    </sheetView>
  </sheetViews>
  <sheetFormatPr defaultRowHeight="15" x14ac:dyDescent="0.25"/>
  <cols>
    <col min="1" max="1" width="44.28515625" bestFit="1" customWidth="1"/>
    <col min="3" max="4" width="10.42578125" bestFit="1" customWidth="1"/>
    <col min="6" max="7" width="10.42578125" bestFit="1" customWidth="1"/>
  </cols>
  <sheetData>
    <row r="1" spans="1:7" x14ac:dyDescent="0.25">
      <c r="A1" s="348" t="s">
        <v>118</v>
      </c>
      <c r="B1" s="329"/>
      <c r="C1" s="329"/>
      <c r="D1" s="329"/>
      <c r="E1" s="329"/>
      <c r="F1" s="329"/>
      <c r="G1" s="329"/>
    </row>
    <row r="2" spans="1:7" ht="15.75" thickBot="1" x14ac:dyDescent="0.3">
      <c r="A2" s="349"/>
      <c r="B2" s="349"/>
      <c r="C2" s="349"/>
      <c r="D2" s="349"/>
      <c r="E2" s="349"/>
      <c r="F2" s="349"/>
      <c r="G2" s="349"/>
    </row>
    <row r="3" spans="1:7" ht="15.75" thickTop="1" x14ac:dyDescent="0.25">
      <c r="A3" s="112"/>
      <c r="B3" s="350" t="s">
        <v>25</v>
      </c>
      <c r="C3" s="351"/>
      <c r="D3" s="352"/>
      <c r="E3" s="353" t="s">
        <v>26</v>
      </c>
      <c r="F3" s="354"/>
      <c r="G3" s="355"/>
    </row>
    <row r="4" spans="1:7" ht="15.75" thickBot="1" x14ac:dyDescent="0.3">
      <c r="A4" s="113" t="s">
        <v>1</v>
      </c>
      <c r="B4" s="114" t="s">
        <v>27</v>
      </c>
      <c r="C4" s="115" t="s">
        <v>2</v>
      </c>
      <c r="D4" s="116" t="s">
        <v>3</v>
      </c>
      <c r="E4" s="115" t="s">
        <v>27</v>
      </c>
      <c r="F4" s="115" t="s">
        <v>2</v>
      </c>
      <c r="G4" s="117" t="s">
        <v>3</v>
      </c>
    </row>
    <row r="5" spans="1:7" ht="15.75" thickBot="1" x14ac:dyDescent="0.3">
      <c r="A5" s="118" t="s">
        <v>28</v>
      </c>
      <c r="B5" s="119"/>
      <c r="C5" s="120"/>
      <c r="D5" s="121">
        <v>621.79</v>
      </c>
      <c r="E5" s="122"/>
      <c r="F5" s="122"/>
      <c r="G5" s="121">
        <v>621.70000000000005</v>
      </c>
    </row>
    <row r="6" spans="1:7" x14ac:dyDescent="0.25">
      <c r="A6" s="123" t="s">
        <v>119</v>
      </c>
      <c r="B6" s="124">
        <v>22</v>
      </c>
      <c r="C6" s="125"/>
      <c r="D6" s="126">
        <f>50*B6</f>
        <v>1100</v>
      </c>
      <c r="E6" s="127">
        <v>21</v>
      </c>
      <c r="F6" s="128"/>
      <c r="G6" s="126">
        <f>50*E6</f>
        <v>1050</v>
      </c>
    </row>
    <row r="7" spans="1:7" x14ac:dyDescent="0.25">
      <c r="A7" s="123" t="s">
        <v>30</v>
      </c>
      <c r="B7" s="124">
        <v>2</v>
      </c>
      <c r="C7" s="125"/>
      <c r="D7" s="126">
        <v>50</v>
      </c>
      <c r="E7" s="127">
        <v>2</v>
      </c>
      <c r="F7" s="128"/>
      <c r="G7" s="126">
        <f t="shared" ref="G7:G8" si="0">50</f>
        <v>50</v>
      </c>
    </row>
    <row r="8" spans="1:7" x14ac:dyDescent="0.25">
      <c r="A8" s="123" t="s">
        <v>115</v>
      </c>
      <c r="B8" s="124"/>
      <c r="C8" s="128"/>
      <c r="D8" s="126"/>
      <c r="E8" s="127">
        <v>2</v>
      </c>
      <c r="F8" s="128"/>
      <c r="G8" s="126">
        <f t="shared" si="0"/>
        <v>50</v>
      </c>
    </row>
    <row r="9" spans="1:7" x14ac:dyDescent="0.25">
      <c r="A9" s="123" t="s">
        <v>33</v>
      </c>
      <c r="B9" s="130"/>
      <c r="C9" s="128">
        <v>69.22</v>
      </c>
      <c r="D9" s="126"/>
      <c r="E9" s="127"/>
      <c r="F9" s="128">
        <v>69.22</v>
      </c>
      <c r="G9" s="129"/>
    </row>
    <row r="10" spans="1:7" x14ac:dyDescent="0.25">
      <c r="A10" s="123" t="s">
        <v>34</v>
      </c>
      <c r="B10" s="130"/>
      <c r="C10" s="128">
        <f>0.19*SUM(B6:B7)</f>
        <v>4.5600000000000005</v>
      </c>
      <c r="D10" s="126"/>
      <c r="E10" s="127"/>
      <c r="F10" s="128">
        <f>0.19*SUM(E6:E7)</f>
        <v>4.37</v>
      </c>
      <c r="G10" s="129"/>
    </row>
    <row r="11" spans="1:7" x14ac:dyDescent="0.25">
      <c r="A11" s="123" t="s">
        <v>88</v>
      </c>
      <c r="B11" s="131"/>
      <c r="C11" s="128">
        <f>10*SUM(B6:B7)</f>
        <v>240</v>
      </c>
      <c r="D11" s="126"/>
      <c r="E11" s="127"/>
      <c r="F11" s="128">
        <v>235.39000000000001</v>
      </c>
      <c r="G11" s="129"/>
    </row>
    <row r="12" spans="1:7" x14ac:dyDescent="0.25">
      <c r="A12" s="123"/>
      <c r="B12" s="130"/>
      <c r="C12" s="128"/>
      <c r="D12" s="126"/>
      <c r="E12" s="127"/>
      <c r="F12" s="128"/>
      <c r="G12" s="129"/>
    </row>
    <row r="13" spans="1:7" x14ac:dyDescent="0.25">
      <c r="A13" s="123" t="s">
        <v>37</v>
      </c>
      <c r="B13" s="130"/>
      <c r="C13" s="128">
        <v>627.5</v>
      </c>
      <c r="D13" s="126"/>
      <c r="E13" s="128"/>
      <c r="F13" s="128">
        <v>640.04999999999995</v>
      </c>
      <c r="G13" s="129"/>
    </row>
    <row r="14" spans="1:7" x14ac:dyDescent="0.25">
      <c r="A14" s="123" t="s">
        <v>120</v>
      </c>
      <c r="B14" s="130"/>
      <c r="C14" s="128">
        <v>0</v>
      </c>
      <c r="D14" s="126"/>
      <c r="E14" s="128"/>
      <c r="F14" s="128">
        <v>0</v>
      </c>
      <c r="G14" s="129"/>
    </row>
    <row r="15" spans="1:7" x14ac:dyDescent="0.25">
      <c r="A15" s="123"/>
      <c r="B15" s="130"/>
      <c r="C15" s="128"/>
      <c r="D15" s="126"/>
      <c r="E15" s="128"/>
      <c r="F15" s="128"/>
      <c r="G15" s="129"/>
    </row>
    <row r="16" spans="1:7" x14ac:dyDescent="0.25">
      <c r="A16" s="123" t="s">
        <v>121</v>
      </c>
      <c r="B16" s="130"/>
      <c r="C16" s="128">
        <v>450</v>
      </c>
      <c r="D16" s="126"/>
      <c r="E16" s="128"/>
      <c r="F16" s="128">
        <v>422.65000000000003</v>
      </c>
      <c r="G16" s="129"/>
    </row>
    <row r="17" spans="1:7" ht="15.75" thickBot="1" x14ac:dyDescent="0.3">
      <c r="A17" s="123" t="s">
        <v>39</v>
      </c>
      <c r="B17" s="131"/>
      <c r="C17" s="128">
        <v>100</v>
      </c>
      <c r="D17" s="126"/>
      <c r="E17" s="128"/>
      <c r="F17" s="128">
        <v>0</v>
      </c>
      <c r="G17" s="129"/>
    </row>
    <row r="18" spans="1:7" ht="15.75" thickTop="1" x14ac:dyDescent="0.25">
      <c r="A18" s="112" t="s">
        <v>40</v>
      </c>
      <c r="B18" s="132"/>
      <c r="C18" s="133">
        <f>SUM(C5:C17)</f>
        <v>1491.28</v>
      </c>
      <c r="D18" s="134">
        <f>SUM(D6:D17)</f>
        <v>1150</v>
      </c>
      <c r="E18" s="132"/>
      <c r="F18" s="133">
        <f>SUM(F5:F17)</f>
        <v>1371.68</v>
      </c>
      <c r="G18" s="134">
        <f>SUM(G6:G17)</f>
        <v>1150</v>
      </c>
    </row>
    <row r="19" spans="1:7" ht="15.75" thickBot="1" x14ac:dyDescent="0.3">
      <c r="A19" s="135" t="s">
        <v>41</v>
      </c>
      <c r="B19" s="136"/>
      <c r="C19" s="137">
        <f>D18-C18</f>
        <v>-341.28</v>
      </c>
      <c r="D19" s="138"/>
      <c r="E19" s="136"/>
      <c r="F19" s="137">
        <f>G18-F18</f>
        <v>-221.68000000000006</v>
      </c>
      <c r="G19" s="138"/>
    </row>
    <row r="20" spans="1:7" ht="15.75" thickBot="1" x14ac:dyDescent="0.3">
      <c r="A20" s="255" t="s">
        <v>79</v>
      </c>
      <c r="B20" s="256"/>
      <c r="C20" s="139">
        <f>D5+C19</f>
        <v>280.51</v>
      </c>
      <c r="D20" s="257"/>
      <c r="E20" s="256"/>
      <c r="F20" s="139">
        <f>G5+F19</f>
        <v>400.02</v>
      </c>
      <c r="G20" s="258"/>
    </row>
  </sheetData>
  <mergeCells count="3">
    <mergeCell ref="A1:G2"/>
    <mergeCell ref="B3:D3"/>
    <mergeCell ref="E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8" workbookViewId="0">
      <selection activeCell="H12" sqref="H12"/>
    </sheetView>
  </sheetViews>
  <sheetFormatPr defaultRowHeight="15" x14ac:dyDescent="0.25"/>
  <cols>
    <col min="1" max="1" width="44.28515625" bestFit="1" customWidth="1"/>
    <col min="3" max="4" width="10.42578125" bestFit="1" customWidth="1"/>
    <col min="6" max="7" width="10.42578125" bestFit="1" customWidth="1"/>
  </cols>
  <sheetData>
    <row r="1" spans="1:7" ht="15.75" customHeight="1" thickBot="1" x14ac:dyDescent="0.3">
      <c r="A1" s="356" t="s">
        <v>122</v>
      </c>
      <c r="B1" s="356"/>
      <c r="C1" s="356"/>
      <c r="D1" s="356"/>
      <c r="E1" s="356"/>
      <c r="F1" s="356"/>
      <c r="G1" s="356"/>
    </row>
    <row r="2" spans="1:7" ht="16.5" customHeight="1" thickTop="1" thickBot="1" x14ac:dyDescent="0.3">
      <c r="A2" s="357"/>
      <c r="B2" s="357"/>
      <c r="C2" s="357"/>
      <c r="D2" s="357"/>
      <c r="E2" s="357"/>
      <c r="F2" s="357"/>
      <c r="G2" s="357"/>
    </row>
    <row r="3" spans="1:7" x14ac:dyDescent="0.25">
      <c r="A3" s="101"/>
      <c r="B3" s="358" t="s">
        <v>25</v>
      </c>
      <c r="C3" s="358"/>
      <c r="D3" s="358"/>
      <c r="E3" s="359" t="s">
        <v>26</v>
      </c>
      <c r="F3" s="359"/>
      <c r="G3" s="360"/>
    </row>
    <row r="4" spans="1:7" ht="15.75" thickBot="1" x14ac:dyDescent="0.3">
      <c r="A4" s="259" t="s">
        <v>1</v>
      </c>
      <c r="B4" s="260" t="s">
        <v>27</v>
      </c>
      <c r="C4" s="261" t="s">
        <v>2</v>
      </c>
      <c r="D4" s="262" t="s">
        <v>3</v>
      </c>
      <c r="E4" s="261" t="s">
        <v>27</v>
      </c>
      <c r="F4" s="261" t="s">
        <v>2</v>
      </c>
      <c r="G4" s="262" t="s">
        <v>3</v>
      </c>
    </row>
    <row r="5" spans="1:7" ht="15.75" thickBot="1" x14ac:dyDescent="0.3">
      <c r="A5" s="263" t="s">
        <v>28</v>
      </c>
      <c r="B5" s="264"/>
      <c r="C5" s="265"/>
      <c r="D5" s="266">
        <v>365.79</v>
      </c>
      <c r="E5" s="265"/>
      <c r="F5" s="265"/>
      <c r="G5" s="266">
        <v>647.27</v>
      </c>
    </row>
    <row r="6" spans="1:7" x14ac:dyDescent="0.25">
      <c r="A6" s="103" t="s">
        <v>29</v>
      </c>
      <c r="B6" s="87">
        <v>50</v>
      </c>
      <c r="C6" s="1"/>
      <c r="D6" s="61">
        <v>1284.55</v>
      </c>
      <c r="E6" s="3">
        <v>37</v>
      </c>
      <c r="F6" s="1"/>
      <c r="G6" s="61">
        <v>987.53</v>
      </c>
    </row>
    <row r="7" spans="1:7" x14ac:dyDescent="0.25">
      <c r="A7" s="70" t="s">
        <v>46</v>
      </c>
      <c r="B7" s="87"/>
      <c r="C7" s="1"/>
      <c r="D7" s="61"/>
      <c r="E7" s="3"/>
      <c r="F7" s="1"/>
      <c r="G7" s="61"/>
    </row>
    <row r="8" spans="1:7" x14ac:dyDescent="0.25">
      <c r="A8" s="103" t="s">
        <v>33</v>
      </c>
      <c r="B8" s="89"/>
      <c r="C8" s="1">
        <v>66.55</v>
      </c>
      <c r="D8" s="61"/>
      <c r="E8" s="3"/>
      <c r="F8" s="1">
        <v>66.55</v>
      </c>
      <c r="G8" s="61"/>
    </row>
    <row r="9" spans="1:7" x14ac:dyDescent="0.25">
      <c r="A9" s="103" t="s">
        <v>34</v>
      </c>
      <c r="B9" s="89"/>
      <c r="C9" s="1">
        <v>6</v>
      </c>
      <c r="D9" s="61"/>
      <c r="E9" s="3"/>
      <c r="F9" s="1">
        <v>3.7</v>
      </c>
      <c r="G9" s="61"/>
    </row>
    <row r="10" spans="1:7" x14ac:dyDescent="0.25">
      <c r="A10" s="103" t="s">
        <v>37</v>
      </c>
      <c r="B10" s="91"/>
      <c r="C10" s="1">
        <v>1211.95</v>
      </c>
      <c r="D10" s="61"/>
      <c r="E10" s="1"/>
      <c r="F10" s="1">
        <v>885</v>
      </c>
      <c r="G10" s="61"/>
    </row>
    <row r="11" spans="1:7" x14ac:dyDescent="0.25">
      <c r="A11" s="103" t="s">
        <v>51</v>
      </c>
      <c r="B11" s="91"/>
      <c r="C11" s="1"/>
      <c r="D11" s="61"/>
      <c r="E11" s="1"/>
      <c r="F11" s="1">
        <v>4.5</v>
      </c>
      <c r="G11" s="61"/>
    </row>
    <row r="12" spans="1:7" ht="15.75" thickBot="1" x14ac:dyDescent="0.3">
      <c r="A12" s="103" t="s">
        <v>39</v>
      </c>
      <c r="B12" s="90"/>
      <c r="C12" s="1">
        <v>0.05</v>
      </c>
      <c r="D12" s="61"/>
      <c r="E12" s="1"/>
      <c r="F12" s="1"/>
      <c r="G12" s="61"/>
    </row>
    <row r="13" spans="1:7" x14ac:dyDescent="0.25">
      <c r="A13" s="66" t="s">
        <v>40</v>
      </c>
      <c r="B13" s="92"/>
      <c r="C13" s="55">
        <f>SUM(C6:C12)</f>
        <v>1284.55</v>
      </c>
      <c r="D13" s="56">
        <f>SUM(D6:D12)</f>
        <v>1284.55</v>
      </c>
      <c r="E13" s="71"/>
      <c r="F13" s="55">
        <f>SUM(F6:F12)</f>
        <v>959.75</v>
      </c>
      <c r="G13" s="56">
        <f>SUM(G6:G12)</f>
        <v>987.53</v>
      </c>
    </row>
    <row r="14" spans="1:7" x14ac:dyDescent="0.25">
      <c r="A14" s="67" t="s">
        <v>41</v>
      </c>
      <c r="B14" s="93"/>
      <c r="C14" s="267">
        <f>D13-C13</f>
        <v>0</v>
      </c>
      <c r="D14" s="95"/>
      <c r="E14" s="72"/>
      <c r="F14" s="96">
        <f>G13-F13</f>
        <v>27.779999999999973</v>
      </c>
      <c r="G14" s="95"/>
    </row>
    <row r="15" spans="1:7" ht="15.75" thickBot="1" x14ac:dyDescent="0.3">
      <c r="A15" s="73" t="s">
        <v>79</v>
      </c>
      <c r="B15" s="18"/>
      <c r="C15" s="68"/>
      <c r="D15" s="268"/>
      <c r="E15" s="18"/>
      <c r="F15" s="68"/>
      <c r="G15" s="268">
        <f>G5+F14</f>
        <v>675.05</v>
      </c>
    </row>
    <row r="16" spans="1:7" ht="15.75" thickBot="1" x14ac:dyDescent="0.3">
      <c r="A16" s="269" t="s">
        <v>42</v>
      </c>
      <c r="B16" s="269"/>
      <c r="C16" s="53">
        <f>SUM(C13:C14)</f>
        <v>1284.55</v>
      </c>
      <c r="D16" s="54">
        <f>SUM(D13:D14)</f>
        <v>1284.55</v>
      </c>
      <c r="E16" s="53"/>
      <c r="F16" s="53">
        <f>SUM(F13:F14)</f>
        <v>987.53</v>
      </c>
      <c r="G16" s="54">
        <f>SUM(G13:G14)</f>
        <v>987.53</v>
      </c>
    </row>
    <row r="19" spans="1:7" ht="15.75" thickBot="1" x14ac:dyDescent="0.3">
      <c r="A19" s="361" t="s">
        <v>123</v>
      </c>
      <c r="B19" s="361"/>
      <c r="C19" s="361"/>
      <c r="D19" s="361"/>
      <c r="E19" s="361"/>
      <c r="F19" s="361"/>
      <c r="G19" s="361"/>
    </row>
    <row r="20" spans="1:7" ht="16.5" thickTop="1" thickBot="1" x14ac:dyDescent="0.3">
      <c r="A20" s="362"/>
      <c r="B20" s="362"/>
      <c r="C20" s="362"/>
      <c r="D20" s="362"/>
      <c r="E20" s="362"/>
      <c r="F20" s="362"/>
      <c r="G20" s="362"/>
    </row>
    <row r="21" spans="1:7" x14ac:dyDescent="0.25">
      <c r="A21" s="101"/>
      <c r="B21" s="358" t="s">
        <v>25</v>
      </c>
      <c r="C21" s="358"/>
      <c r="D21" s="358"/>
      <c r="E21" s="359" t="s">
        <v>26</v>
      </c>
      <c r="F21" s="359"/>
      <c r="G21" s="360"/>
    </row>
    <row r="22" spans="1:7" ht="15.75" thickBot="1" x14ac:dyDescent="0.3">
      <c r="A22" s="259" t="s">
        <v>1</v>
      </c>
      <c r="B22" s="260" t="s">
        <v>27</v>
      </c>
      <c r="C22" s="261" t="s">
        <v>2</v>
      </c>
      <c r="D22" s="262" t="s">
        <v>3</v>
      </c>
      <c r="E22" s="261" t="s">
        <v>27</v>
      </c>
      <c r="F22" s="261" t="s">
        <v>2</v>
      </c>
      <c r="G22" s="262" t="s">
        <v>3</v>
      </c>
    </row>
    <row r="23" spans="1:7" ht="15.75" thickBot="1" x14ac:dyDescent="0.3">
      <c r="A23" s="263" t="s">
        <v>28</v>
      </c>
      <c r="B23" s="264"/>
      <c r="C23" s="265"/>
      <c r="D23" s="266">
        <v>647.66999999999996</v>
      </c>
      <c r="E23" s="265"/>
      <c r="F23" s="265"/>
      <c r="G23" s="266">
        <v>675.05</v>
      </c>
    </row>
    <row r="24" spans="1:7" x14ac:dyDescent="0.25">
      <c r="A24" s="103" t="s">
        <v>29</v>
      </c>
      <c r="B24" s="87">
        <v>60</v>
      </c>
      <c r="C24" s="1"/>
      <c r="D24" s="61">
        <v>5700</v>
      </c>
      <c r="E24" s="3">
        <v>62</v>
      </c>
      <c r="F24" s="1"/>
      <c r="G24" s="61">
        <v>5890</v>
      </c>
    </row>
    <row r="25" spans="1:7" x14ac:dyDescent="0.25">
      <c r="A25" s="103" t="s">
        <v>30</v>
      </c>
      <c r="B25" s="87">
        <v>4</v>
      </c>
      <c r="C25" s="1"/>
      <c r="D25" s="61">
        <v>80</v>
      </c>
      <c r="E25" s="3">
        <v>3</v>
      </c>
      <c r="F25" s="1"/>
      <c r="G25" s="61">
        <v>60</v>
      </c>
    </row>
    <row r="26" spans="1:7" x14ac:dyDescent="0.25">
      <c r="A26" s="103" t="s">
        <v>78</v>
      </c>
      <c r="B26" s="87">
        <v>1</v>
      </c>
      <c r="C26" s="1">
        <v>6</v>
      </c>
      <c r="D26" s="61"/>
      <c r="E26" s="3">
        <v>1</v>
      </c>
      <c r="F26" s="1">
        <v>6</v>
      </c>
      <c r="G26" s="61"/>
    </row>
    <row r="27" spans="1:7" x14ac:dyDescent="0.25">
      <c r="A27" s="103" t="s">
        <v>32</v>
      </c>
      <c r="B27" s="87"/>
      <c r="C27" s="1"/>
      <c r="D27" s="61">
        <v>400</v>
      </c>
      <c r="E27" s="3"/>
      <c r="F27" s="1"/>
      <c r="G27" s="61">
        <v>435</v>
      </c>
    </row>
    <row r="28" spans="1:7" x14ac:dyDescent="0.25">
      <c r="A28" s="70" t="s">
        <v>46</v>
      </c>
      <c r="B28" s="87"/>
      <c r="C28" s="1"/>
      <c r="D28" s="61"/>
      <c r="E28" s="3"/>
      <c r="F28" s="1"/>
      <c r="G28" s="61">
        <v>12</v>
      </c>
    </row>
    <row r="29" spans="1:7" x14ac:dyDescent="0.25">
      <c r="A29" s="103" t="s">
        <v>33</v>
      </c>
      <c r="B29" s="89"/>
      <c r="C29" s="1">
        <v>266.20999999999998</v>
      </c>
      <c r="D29" s="61"/>
      <c r="E29" s="3"/>
      <c r="F29" s="1">
        <v>266.20999999999998</v>
      </c>
      <c r="G29" s="61"/>
    </row>
    <row r="30" spans="1:7" x14ac:dyDescent="0.25">
      <c r="A30" s="103" t="s">
        <v>34</v>
      </c>
      <c r="B30" s="89"/>
      <c r="C30" s="1">
        <v>23.4</v>
      </c>
      <c r="D30" s="61"/>
      <c r="E30" s="3"/>
      <c r="F30" s="1">
        <f>SUM(E24:E26)*0.39</f>
        <v>25.740000000000002</v>
      </c>
      <c r="G30" s="61"/>
    </row>
    <row r="31" spans="1:7" x14ac:dyDescent="0.25">
      <c r="A31" s="103" t="s">
        <v>35</v>
      </c>
      <c r="B31" s="90"/>
      <c r="C31" s="1">
        <v>300</v>
      </c>
      <c r="D31" s="61"/>
      <c r="E31" s="3"/>
      <c r="F31" s="1">
        <v>255.9</v>
      </c>
      <c r="G31" s="61"/>
    </row>
    <row r="32" spans="1:7" x14ac:dyDescent="0.25">
      <c r="A32" s="103" t="s">
        <v>36</v>
      </c>
      <c r="B32" s="91"/>
      <c r="C32" s="1">
        <v>1200</v>
      </c>
      <c r="D32" s="61"/>
      <c r="E32" s="3"/>
      <c r="F32" s="1">
        <v>1084.3</v>
      </c>
      <c r="G32" s="61"/>
    </row>
    <row r="33" spans="1:7" x14ac:dyDescent="0.25">
      <c r="A33" s="103" t="s">
        <v>83</v>
      </c>
      <c r="B33" s="91"/>
      <c r="C33" s="1">
        <v>300</v>
      </c>
      <c r="D33" s="61"/>
      <c r="E33" s="3"/>
      <c r="F33" s="1">
        <v>161.41</v>
      </c>
      <c r="G33" s="61"/>
    </row>
    <row r="34" spans="1:7" x14ac:dyDescent="0.25">
      <c r="A34" s="103" t="s">
        <v>48</v>
      </c>
      <c r="B34" s="89"/>
      <c r="C34" s="1">
        <v>50</v>
      </c>
      <c r="D34" s="61"/>
      <c r="E34" s="1"/>
      <c r="F34" s="1">
        <v>38.119999999999997</v>
      </c>
      <c r="G34" s="61"/>
    </row>
    <row r="35" spans="1:7" x14ac:dyDescent="0.25">
      <c r="A35" s="103" t="s">
        <v>49</v>
      </c>
      <c r="B35" s="89"/>
      <c r="C35" s="1">
        <v>100</v>
      </c>
      <c r="D35" s="61"/>
      <c r="E35" s="1"/>
      <c r="F35" s="1">
        <v>28.91</v>
      </c>
      <c r="G35" s="61"/>
    </row>
    <row r="36" spans="1:7" x14ac:dyDescent="0.25">
      <c r="A36" s="103" t="s">
        <v>124</v>
      </c>
      <c r="B36" s="90"/>
      <c r="C36" s="1">
        <v>300</v>
      </c>
      <c r="D36" s="61"/>
      <c r="E36" s="1"/>
      <c r="F36" s="1">
        <v>92</v>
      </c>
      <c r="G36" s="61"/>
    </row>
    <row r="37" spans="1:7" x14ac:dyDescent="0.25">
      <c r="A37" s="103" t="s">
        <v>37</v>
      </c>
      <c r="B37" s="91"/>
      <c r="C37" s="1">
        <v>1120</v>
      </c>
      <c r="D37" s="61"/>
      <c r="E37" s="1"/>
      <c r="F37" s="1">
        <v>1084</v>
      </c>
      <c r="G37" s="61"/>
    </row>
    <row r="38" spans="1:7" x14ac:dyDescent="0.25">
      <c r="A38" s="103" t="s">
        <v>51</v>
      </c>
      <c r="B38" s="91"/>
      <c r="C38" s="1">
        <v>400</v>
      </c>
      <c r="D38" s="61"/>
      <c r="E38" s="1"/>
      <c r="F38" s="1">
        <v>535.44000000000005</v>
      </c>
      <c r="G38" s="61"/>
    </row>
    <row r="39" spans="1:7" x14ac:dyDescent="0.25">
      <c r="A39" s="103" t="s">
        <v>38</v>
      </c>
      <c r="B39" s="91"/>
      <c r="C39" s="1">
        <v>50</v>
      </c>
      <c r="D39" s="61"/>
      <c r="E39" s="1"/>
      <c r="F39" s="1">
        <v>94.25</v>
      </c>
      <c r="G39" s="61"/>
    </row>
    <row r="40" spans="1:7" x14ac:dyDescent="0.25">
      <c r="A40" s="103" t="s">
        <v>43</v>
      </c>
      <c r="B40" s="90"/>
      <c r="C40" s="1">
        <v>2000</v>
      </c>
      <c r="D40" s="61"/>
      <c r="E40" s="1"/>
      <c r="F40" s="1">
        <v>1854.89</v>
      </c>
      <c r="G40" s="61"/>
    </row>
    <row r="41" spans="1:7" x14ac:dyDescent="0.25">
      <c r="A41" s="103" t="s">
        <v>12</v>
      </c>
      <c r="B41" s="90"/>
      <c r="C41" s="1">
        <v>180</v>
      </c>
      <c r="D41" s="61"/>
      <c r="E41" s="1"/>
      <c r="F41" s="1">
        <v>40.85</v>
      </c>
      <c r="G41" s="61"/>
    </row>
    <row r="42" spans="1:7" x14ac:dyDescent="0.25">
      <c r="A42" s="103" t="s">
        <v>52</v>
      </c>
      <c r="B42" s="90"/>
      <c r="C42" s="1">
        <v>450</v>
      </c>
      <c r="D42" s="61"/>
      <c r="E42" s="1"/>
      <c r="F42" s="1">
        <v>366.93</v>
      </c>
      <c r="G42" s="61"/>
    </row>
    <row r="43" spans="1:7" ht="15.75" thickBot="1" x14ac:dyDescent="0.3">
      <c r="A43" s="103" t="s">
        <v>39</v>
      </c>
      <c r="B43" s="90"/>
      <c r="C43" s="1">
        <v>76.06</v>
      </c>
      <c r="D43" s="61"/>
      <c r="E43" s="1"/>
      <c r="F43" s="1">
        <v>21.97</v>
      </c>
      <c r="G43" s="61"/>
    </row>
    <row r="44" spans="1:7" x14ac:dyDescent="0.25">
      <c r="A44" s="66" t="s">
        <v>40</v>
      </c>
      <c r="B44" s="92"/>
      <c r="C44" s="55">
        <f>SUM(C24:C43)</f>
        <v>6821.67</v>
      </c>
      <c r="D44" s="56">
        <f>SUM(D24:D43)</f>
        <v>6180</v>
      </c>
      <c r="E44" s="71"/>
      <c r="F44" s="55">
        <f>SUM(F24:F43)</f>
        <v>5956.920000000001</v>
      </c>
      <c r="G44" s="56">
        <f>SUM(G24:G43)</f>
        <v>6397</v>
      </c>
    </row>
    <row r="45" spans="1:7" x14ac:dyDescent="0.25">
      <c r="A45" s="67" t="s">
        <v>41</v>
      </c>
      <c r="B45" s="93"/>
      <c r="C45" s="267">
        <f>D44-C44</f>
        <v>-641.67000000000007</v>
      </c>
      <c r="D45" s="95"/>
      <c r="E45" s="72"/>
      <c r="F45" s="96">
        <f>G44-F44</f>
        <v>440.07999999999902</v>
      </c>
      <c r="G45" s="95"/>
    </row>
    <row r="46" spans="1:7" ht="15.75" thickBot="1" x14ac:dyDescent="0.3">
      <c r="A46" s="73" t="s">
        <v>79</v>
      </c>
      <c r="B46" s="18"/>
      <c r="C46" s="68"/>
      <c r="D46" s="268"/>
      <c r="E46" s="18"/>
      <c r="F46" s="68"/>
      <c r="G46" s="268">
        <f>G23+F45</f>
        <v>1115.129999999999</v>
      </c>
    </row>
    <row r="47" spans="1:7" ht="15.75" thickBot="1" x14ac:dyDescent="0.3">
      <c r="A47" s="269" t="s">
        <v>42</v>
      </c>
      <c r="B47" s="269"/>
      <c r="C47" s="53">
        <f>SUM(C44:C45)</f>
        <v>6180</v>
      </c>
      <c r="D47" s="54">
        <f>SUM(D44:D45)</f>
        <v>6180</v>
      </c>
      <c r="E47" s="53"/>
      <c r="F47" s="53">
        <f>SUM(F44:F45)</f>
        <v>6397</v>
      </c>
      <c r="G47" s="54">
        <f>SUM(G44:G45)</f>
        <v>6397</v>
      </c>
    </row>
  </sheetData>
  <mergeCells count="6">
    <mergeCell ref="A1:G2"/>
    <mergeCell ref="B3:D3"/>
    <mergeCell ref="E3:G3"/>
    <mergeCell ref="A19:G20"/>
    <mergeCell ref="B21:D21"/>
    <mergeCell ref="E21:G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4" workbookViewId="0">
      <selection activeCell="I46" sqref="I46"/>
    </sheetView>
  </sheetViews>
  <sheetFormatPr defaultRowHeight="15" x14ac:dyDescent="0.25"/>
  <cols>
    <col min="1" max="1" width="44.28515625" bestFit="1" customWidth="1"/>
    <col min="3" max="3" width="11.140625" customWidth="1"/>
    <col min="4" max="4" width="11.5703125" customWidth="1"/>
    <col min="6" max="6" width="10.140625" bestFit="1" customWidth="1"/>
    <col min="7" max="7" width="10.42578125" bestFit="1" customWidth="1"/>
  </cols>
  <sheetData>
    <row r="1" spans="1:7" ht="15.75" thickBot="1" x14ac:dyDescent="0.3">
      <c r="A1" s="332" t="s">
        <v>125</v>
      </c>
      <c r="B1" s="332"/>
      <c r="C1" s="332"/>
      <c r="D1" s="332"/>
      <c r="E1" s="332"/>
      <c r="F1" s="332"/>
      <c r="G1" s="332"/>
    </row>
    <row r="2" spans="1:7" ht="16.5" thickTop="1" thickBot="1" x14ac:dyDescent="0.3">
      <c r="A2" s="332"/>
      <c r="B2" s="332"/>
      <c r="C2" s="332"/>
      <c r="D2" s="332"/>
      <c r="E2" s="337"/>
      <c r="F2" s="337"/>
      <c r="G2" s="337"/>
    </row>
    <row r="3" spans="1:7" ht="15.75" thickTop="1" x14ac:dyDescent="0.25">
      <c r="A3" s="63"/>
      <c r="B3" s="333" t="s">
        <v>126</v>
      </c>
      <c r="C3" s="333"/>
      <c r="D3" s="333"/>
      <c r="E3" s="363" t="s">
        <v>127</v>
      </c>
      <c r="F3" s="339"/>
      <c r="G3" s="340"/>
    </row>
    <row r="4" spans="1:7" x14ac:dyDescent="0.25">
      <c r="A4" s="48" t="s">
        <v>1</v>
      </c>
      <c r="B4" s="84" t="s">
        <v>27</v>
      </c>
      <c r="C4" s="2" t="s">
        <v>2</v>
      </c>
      <c r="D4" s="69" t="s">
        <v>3</v>
      </c>
      <c r="E4" s="270" t="s">
        <v>27</v>
      </c>
      <c r="F4" s="2" t="s">
        <v>2</v>
      </c>
      <c r="G4" s="69" t="s">
        <v>3</v>
      </c>
    </row>
    <row r="5" spans="1:7" x14ac:dyDescent="0.25">
      <c r="A5" s="271" t="s">
        <v>28</v>
      </c>
      <c r="B5" s="272"/>
      <c r="C5" s="273"/>
      <c r="D5" s="274">
        <v>366.77</v>
      </c>
      <c r="E5" s="272"/>
      <c r="F5" s="273"/>
      <c r="G5" s="274">
        <v>366.77</v>
      </c>
    </row>
    <row r="6" spans="1:7" x14ac:dyDescent="0.25">
      <c r="A6" s="64" t="s">
        <v>29</v>
      </c>
      <c r="B6" s="87">
        <v>58</v>
      </c>
      <c r="C6" s="1"/>
      <c r="D6" s="74">
        <v>3770</v>
      </c>
      <c r="E6" s="65">
        <v>76</v>
      </c>
      <c r="F6" s="107"/>
      <c r="G6" s="74">
        <v>4940</v>
      </c>
    </row>
    <row r="7" spans="1:7" x14ac:dyDescent="0.25">
      <c r="A7" s="64" t="s">
        <v>30</v>
      </c>
      <c r="B7" s="87">
        <v>7</v>
      </c>
      <c r="C7" s="1"/>
      <c r="D7" s="74">
        <v>350</v>
      </c>
      <c r="E7" s="65">
        <v>6</v>
      </c>
      <c r="F7" s="107"/>
      <c r="G7" s="74">
        <v>300</v>
      </c>
    </row>
    <row r="8" spans="1:7" x14ac:dyDescent="0.25">
      <c r="A8" s="64" t="s">
        <v>80</v>
      </c>
      <c r="B8" s="87"/>
      <c r="C8" s="1"/>
      <c r="D8" s="61">
        <v>500</v>
      </c>
      <c r="E8" s="65"/>
      <c r="F8" s="107"/>
      <c r="G8" s="61">
        <v>805</v>
      </c>
    </row>
    <row r="9" spans="1:7" x14ac:dyDescent="0.25">
      <c r="A9" s="64" t="s">
        <v>33</v>
      </c>
      <c r="B9" s="89"/>
      <c r="C9" s="107">
        <v>146.30000000000001</v>
      </c>
      <c r="D9" s="61"/>
      <c r="E9" s="275"/>
      <c r="F9" s="107">
        <v>159.72999999999999</v>
      </c>
      <c r="G9" s="61"/>
    </row>
    <row r="10" spans="1:7" x14ac:dyDescent="0.25">
      <c r="A10" s="64" t="s">
        <v>34</v>
      </c>
      <c r="B10" s="89"/>
      <c r="C10" s="1">
        <v>12.35</v>
      </c>
      <c r="D10" s="61"/>
      <c r="E10" s="275"/>
      <c r="F10" s="107">
        <v>15.58</v>
      </c>
      <c r="G10" s="61"/>
    </row>
    <row r="11" spans="1:7" x14ac:dyDescent="0.25">
      <c r="A11" s="64" t="s">
        <v>81</v>
      </c>
      <c r="B11" s="90"/>
      <c r="C11" s="1">
        <v>500</v>
      </c>
      <c r="D11" s="61"/>
      <c r="E11" s="276"/>
      <c r="F11" s="107">
        <v>1000</v>
      </c>
      <c r="G11" s="61"/>
    </row>
    <row r="12" spans="1:7" x14ac:dyDescent="0.25">
      <c r="A12" s="64" t="s">
        <v>82</v>
      </c>
      <c r="B12" s="91"/>
      <c r="C12" s="1">
        <v>2145</v>
      </c>
      <c r="D12" s="61"/>
      <c r="E12" s="277"/>
      <c r="F12" s="107">
        <v>4021.35</v>
      </c>
      <c r="G12" s="61"/>
    </row>
    <row r="13" spans="1:7" x14ac:dyDescent="0.25">
      <c r="A13" s="64" t="s">
        <v>83</v>
      </c>
      <c r="B13" s="91"/>
      <c r="C13" s="1">
        <v>20</v>
      </c>
      <c r="D13" s="61"/>
      <c r="E13" s="91"/>
      <c r="F13" s="1">
        <v>20</v>
      </c>
      <c r="G13" s="61"/>
    </row>
    <row r="14" spans="1:7" x14ac:dyDescent="0.25">
      <c r="A14" s="64" t="s">
        <v>37</v>
      </c>
      <c r="B14" s="91"/>
      <c r="C14" s="1">
        <v>1500</v>
      </c>
      <c r="D14" s="61"/>
      <c r="E14" s="91"/>
      <c r="F14" s="1">
        <v>100</v>
      </c>
      <c r="G14" s="61"/>
    </row>
    <row r="15" spans="1:7" x14ac:dyDescent="0.25">
      <c r="A15" s="64" t="s">
        <v>50</v>
      </c>
      <c r="B15" s="90"/>
      <c r="C15" s="1">
        <v>40</v>
      </c>
      <c r="D15" s="61"/>
      <c r="E15" s="90"/>
      <c r="F15" s="1">
        <v>0</v>
      </c>
      <c r="G15" s="61"/>
    </row>
    <row r="16" spans="1:7" x14ac:dyDescent="0.25">
      <c r="A16" s="64" t="s">
        <v>51</v>
      </c>
      <c r="B16" s="91"/>
      <c r="C16" s="1">
        <v>200</v>
      </c>
      <c r="D16" s="61"/>
      <c r="E16" s="91"/>
      <c r="F16" s="1">
        <v>292</v>
      </c>
      <c r="G16" s="61"/>
    </row>
    <row r="17" spans="1:7" x14ac:dyDescent="0.25">
      <c r="A17" s="64" t="s">
        <v>38</v>
      </c>
      <c r="B17" s="91"/>
      <c r="C17" s="1">
        <v>25</v>
      </c>
      <c r="D17" s="61"/>
      <c r="E17" s="91"/>
      <c r="F17" s="1">
        <v>11.95</v>
      </c>
      <c r="G17" s="61"/>
    </row>
    <row r="18" spans="1:7" x14ac:dyDescent="0.25">
      <c r="A18" s="64" t="s">
        <v>87</v>
      </c>
      <c r="B18" s="90"/>
      <c r="C18" s="1">
        <v>20</v>
      </c>
      <c r="D18" s="61"/>
      <c r="E18" s="90"/>
      <c r="F18" s="1">
        <v>186.56</v>
      </c>
      <c r="G18" s="61"/>
    </row>
    <row r="19" spans="1:7" x14ac:dyDescent="0.25">
      <c r="A19" s="278" t="s">
        <v>52</v>
      </c>
      <c r="B19" s="90"/>
      <c r="C19" s="1">
        <v>10</v>
      </c>
      <c r="D19" s="61"/>
      <c r="E19" s="90"/>
      <c r="F19" s="1">
        <v>0</v>
      </c>
      <c r="G19" s="61"/>
    </row>
    <row r="20" spans="1:7" ht="15.75" thickBot="1" x14ac:dyDescent="0.3">
      <c r="A20" s="278" t="s">
        <v>21</v>
      </c>
      <c r="B20" s="90"/>
      <c r="C20" s="1">
        <v>1.35</v>
      </c>
      <c r="D20" s="61"/>
      <c r="E20" s="18"/>
      <c r="F20" s="75"/>
      <c r="G20" s="76"/>
    </row>
    <row r="21" spans="1:7" x14ac:dyDescent="0.25">
      <c r="A21" s="101" t="s">
        <v>40</v>
      </c>
      <c r="B21" s="92"/>
      <c r="C21" s="55">
        <f>SUM(C6:C20)</f>
        <v>4620</v>
      </c>
      <c r="D21" s="56">
        <f>SUM(D5:D19)</f>
        <v>4986.7700000000004</v>
      </c>
      <c r="E21" s="55"/>
      <c r="F21" s="55">
        <f>SUM(F9:F19)</f>
        <v>5807.17</v>
      </c>
      <c r="G21" s="56">
        <f>SUM(G6:G19)</f>
        <v>6045</v>
      </c>
    </row>
    <row r="22" spans="1:7" ht="15.75" thickBot="1" x14ac:dyDescent="0.3">
      <c r="A22" s="198" t="s">
        <v>41</v>
      </c>
      <c r="B22" s="57"/>
      <c r="C22" s="279">
        <f>D21-C21</f>
        <v>366.77000000000044</v>
      </c>
      <c r="D22" s="54"/>
      <c r="E22" s="53"/>
      <c r="F22" s="280">
        <f>G21-F21</f>
        <v>237.82999999999993</v>
      </c>
      <c r="G22" s="54"/>
    </row>
    <row r="23" spans="1:7" ht="15.75" thickBot="1" x14ac:dyDescent="0.3">
      <c r="A23" s="281" t="s">
        <v>79</v>
      </c>
      <c r="B23" s="282"/>
      <c r="C23" s="283"/>
      <c r="D23" s="100"/>
      <c r="E23" s="99"/>
      <c r="F23" s="284"/>
      <c r="G23" s="100">
        <f>G5+F22</f>
        <v>604.59999999999991</v>
      </c>
    </row>
    <row r="24" spans="1:7" ht="15.75" thickBot="1" x14ac:dyDescent="0.3">
      <c r="A24" s="98" t="s">
        <v>42</v>
      </c>
      <c r="B24" s="98"/>
      <c r="C24" s="99">
        <f>SUM(C21:C22)</f>
        <v>4986.7700000000004</v>
      </c>
      <c r="D24" s="100">
        <f>SUM(D21:D22)</f>
        <v>4986.7700000000004</v>
      </c>
      <c r="E24" s="99"/>
      <c r="F24" s="99">
        <f>SUM(F21:F22)</f>
        <v>6045</v>
      </c>
      <c r="G24" s="100">
        <f>SUM(G21:G22)</f>
        <v>6045</v>
      </c>
    </row>
    <row r="27" spans="1:7" ht="15.75" thickBot="1" x14ac:dyDescent="0.3">
      <c r="A27" s="332" t="s">
        <v>133</v>
      </c>
      <c r="B27" s="332"/>
      <c r="C27" s="332"/>
      <c r="D27" s="332"/>
      <c r="E27" s="332"/>
      <c r="F27" s="332"/>
      <c r="G27" s="332"/>
    </row>
    <row r="28" spans="1:7" ht="16.5" thickTop="1" thickBot="1" x14ac:dyDescent="0.3">
      <c r="A28" s="332"/>
      <c r="B28" s="332"/>
      <c r="C28" s="332"/>
      <c r="D28" s="332"/>
      <c r="E28" s="332"/>
      <c r="F28" s="332"/>
      <c r="G28" s="332"/>
    </row>
    <row r="29" spans="1:7" ht="15.75" thickTop="1" x14ac:dyDescent="0.25">
      <c r="A29" s="63"/>
      <c r="B29" s="333" t="s">
        <v>126</v>
      </c>
      <c r="C29" s="333"/>
      <c r="D29" s="333"/>
      <c r="E29" s="334" t="s">
        <v>127</v>
      </c>
      <c r="F29" s="334"/>
      <c r="G29" s="334"/>
    </row>
    <row r="30" spans="1:7" ht="15.75" thickBot="1" x14ac:dyDescent="0.3">
      <c r="A30" s="285" t="s">
        <v>1</v>
      </c>
      <c r="B30" s="84" t="s">
        <v>27</v>
      </c>
      <c r="C30" s="2" t="s">
        <v>2</v>
      </c>
      <c r="D30" s="69" t="s">
        <v>3</v>
      </c>
      <c r="E30" s="2" t="s">
        <v>27</v>
      </c>
      <c r="F30" s="2" t="s">
        <v>2</v>
      </c>
      <c r="G30" s="51" t="s">
        <v>3</v>
      </c>
    </row>
    <row r="31" spans="1:7" ht="16.5" thickTop="1" thickBot="1" x14ac:dyDescent="0.3">
      <c r="A31" s="290" t="s">
        <v>28</v>
      </c>
      <c r="B31" s="294"/>
      <c r="C31" s="293"/>
      <c r="D31" s="295">
        <v>366.77</v>
      </c>
      <c r="E31" s="296"/>
      <c r="F31" s="297"/>
      <c r="G31" s="298">
        <v>604.6</v>
      </c>
    </row>
    <row r="32" spans="1:7" x14ac:dyDescent="0.25">
      <c r="A32" s="299" t="s">
        <v>29</v>
      </c>
      <c r="B32" s="300">
        <v>58</v>
      </c>
      <c r="C32" s="301"/>
      <c r="D32" s="302">
        <v>3770</v>
      </c>
      <c r="E32" s="303">
        <v>69</v>
      </c>
      <c r="F32" s="304"/>
      <c r="G32" s="305">
        <v>4444</v>
      </c>
    </row>
    <row r="33" spans="1:7" x14ac:dyDescent="0.25">
      <c r="A33" s="103" t="s">
        <v>30</v>
      </c>
      <c r="B33" s="87">
        <v>7</v>
      </c>
      <c r="C33" s="306"/>
      <c r="D33" s="307">
        <v>350</v>
      </c>
      <c r="E33" s="65">
        <v>11</v>
      </c>
      <c r="F33" s="308"/>
      <c r="G33" s="309">
        <v>550</v>
      </c>
    </row>
    <row r="34" spans="1:7" x14ac:dyDescent="0.25">
      <c r="A34" s="103" t="s">
        <v>80</v>
      </c>
      <c r="B34" s="87"/>
      <c r="C34" s="306"/>
      <c r="D34" s="310">
        <v>500</v>
      </c>
      <c r="E34" s="65"/>
      <c r="F34" s="308"/>
      <c r="G34" s="311">
        <v>775</v>
      </c>
    </row>
    <row r="35" spans="1:7" x14ac:dyDescent="0.25">
      <c r="A35" s="103" t="s">
        <v>115</v>
      </c>
      <c r="B35" s="87"/>
      <c r="C35" s="306"/>
      <c r="D35" s="310"/>
      <c r="E35" s="65"/>
      <c r="F35" s="308"/>
      <c r="G35" s="311">
        <v>12</v>
      </c>
    </row>
    <row r="36" spans="1:7" x14ac:dyDescent="0.25">
      <c r="A36" s="103" t="s">
        <v>33</v>
      </c>
      <c r="B36" s="89"/>
      <c r="C36" s="107">
        <v>146.30000000000001</v>
      </c>
      <c r="D36" s="310"/>
      <c r="E36" s="275"/>
      <c r="F36" s="107">
        <v>159.72999999999999</v>
      </c>
      <c r="G36" s="61"/>
    </row>
    <row r="37" spans="1:7" x14ac:dyDescent="0.25">
      <c r="A37" s="103" t="s">
        <v>34</v>
      </c>
      <c r="B37" s="89"/>
      <c r="C37" s="306">
        <v>12.35</v>
      </c>
      <c r="D37" s="310"/>
      <c r="E37" s="275"/>
      <c r="F37" s="107">
        <v>16.149999999999999</v>
      </c>
      <c r="G37" s="61"/>
    </row>
    <row r="38" spans="1:7" x14ac:dyDescent="0.25">
      <c r="A38" s="103" t="s">
        <v>81</v>
      </c>
      <c r="B38" s="90"/>
      <c r="C38" s="306">
        <v>500</v>
      </c>
      <c r="D38" s="310"/>
      <c r="E38" s="276"/>
      <c r="F38" s="107">
        <v>750</v>
      </c>
      <c r="G38" s="61"/>
    </row>
    <row r="39" spans="1:7" x14ac:dyDescent="0.25">
      <c r="A39" s="103" t="s">
        <v>82</v>
      </c>
      <c r="B39" s="91"/>
      <c r="C39" s="306">
        <v>2145</v>
      </c>
      <c r="D39" s="310"/>
      <c r="E39" s="277"/>
      <c r="F39" s="107">
        <v>3400</v>
      </c>
      <c r="G39" s="61"/>
    </row>
    <row r="40" spans="1:7" x14ac:dyDescent="0.25">
      <c r="A40" s="103" t="s">
        <v>83</v>
      </c>
      <c r="B40" s="91"/>
      <c r="C40" s="306">
        <v>20</v>
      </c>
      <c r="D40" s="310"/>
      <c r="E40" s="91"/>
      <c r="F40" s="107">
        <v>0</v>
      </c>
      <c r="G40" s="61"/>
    </row>
    <row r="41" spans="1:7" x14ac:dyDescent="0.25">
      <c r="A41" s="103" t="s">
        <v>37</v>
      </c>
      <c r="B41" s="90"/>
      <c r="C41" s="306">
        <v>1500</v>
      </c>
      <c r="D41" s="310"/>
      <c r="E41" s="91"/>
      <c r="F41" s="107">
        <v>1031.7</v>
      </c>
      <c r="G41" s="61"/>
    </row>
    <row r="42" spans="1:7" x14ac:dyDescent="0.25">
      <c r="A42" s="103" t="s">
        <v>50</v>
      </c>
      <c r="B42" s="91"/>
      <c r="C42" s="306">
        <v>40</v>
      </c>
      <c r="D42" s="310"/>
      <c r="E42" s="90"/>
      <c r="F42" s="107">
        <v>0</v>
      </c>
      <c r="G42" s="61"/>
    </row>
    <row r="43" spans="1:7" x14ac:dyDescent="0.25">
      <c r="A43" s="103" t="s">
        <v>51</v>
      </c>
      <c r="B43" s="91"/>
      <c r="C43" s="306">
        <v>200</v>
      </c>
      <c r="D43" s="310"/>
      <c r="E43" s="91"/>
      <c r="F43" s="107">
        <v>352.5</v>
      </c>
      <c r="G43" s="61"/>
    </row>
    <row r="44" spans="1:7" x14ac:dyDescent="0.25">
      <c r="A44" s="103" t="s">
        <v>38</v>
      </c>
      <c r="B44" s="91"/>
      <c r="C44" s="306">
        <v>25</v>
      </c>
      <c r="D44" s="310"/>
      <c r="E44" s="91"/>
      <c r="F44" s="107">
        <v>0</v>
      </c>
      <c r="G44" s="61"/>
    </row>
    <row r="45" spans="1:7" x14ac:dyDescent="0.25">
      <c r="A45" s="103" t="s">
        <v>87</v>
      </c>
      <c r="B45" s="90"/>
      <c r="C45" s="306">
        <v>20</v>
      </c>
      <c r="D45" s="310"/>
      <c r="E45" s="90"/>
      <c r="F45" s="107">
        <v>263.7</v>
      </c>
      <c r="G45" s="61"/>
    </row>
    <row r="46" spans="1:7" x14ac:dyDescent="0.25">
      <c r="A46" s="312" t="s">
        <v>52</v>
      </c>
      <c r="B46" s="90"/>
      <c r="C46" s="306">
        <v>10</v>
      </c>
      <c r="D46" s="310"/>
      <c r="E46" s="90"/>
      <c r="F46" s="1">
        <v>0</v>
      </c>
      <c r="G46" s="61"/>
    </row>
    <row r="47" spans="1:7" ht="15.75" thickBot="1" x14ac:dyDescent="0.3">
      <c r="A47" s="312" t="s">
        <v>39</v>
      </c>
      <c r="B47" s="90"/>
      <c r="C47" s="306">
        <v>1.35</v>
      </c>
      <c r="D47" s="310"/>
      <c r="E47" s="90"/>
      <c r="F47" s="1">
        <v>12</v>
      </c>
      <c r="G47" s="61"/>
    </row>
    <row r="48" spans="1:7" x14ac:dyDescent="0.25">
      <c r="A48" s="101" t="s">
        <v>40</v>
      </c>
      <c r="B48" s="313"/>
      <c r="C48" s="314">
        <f>SUM(C32:C47)</f>
        <v>4620</v>
      </c>
      <c r="D48" s="315">
        <f>SUM(D31:D47)</f>
        <v>4986.7700000000004</v>
      </c>
      <c r="E48" s="55"/>
      <c r="F48" s="55">
        <f>SUM(F36:F47)</f>
        <v>5985.78</v>
      </c>
      <c r="G48" s="56">
        <f>SUM(G32:G47)</f>
        <v>5781</v>
      </c>
    </row>
    <row r="49" spans="1:7" ht="15.75" thickBot="1" x14ac:dyDescent="0.3">
      <c r="A49" s="198" t="s">
        <v>41</v>
      </c>
      <c r="B49" s="52"/>
      <c r="C49" s="53">
        <f>SUM(C48-D48)</f>
        <v>-366.77000000000044</v>
      </c>
      <c r="D49" s="54" t="s">
        <v>134</v>
      </c>
      <c r="E49" s="53" t="s">
        <v>134</v>
      </c>
      <c r="F49" s="280">
        <f>G48-F48</f>
        <v>-204.77999999999975</v>
      </c>
      <c r="G49" s="54"/>
    </row>
    <row r="50" spans="1:7" ht="15.75" thickBot="1" x14ac:dyDescent="0.3">
      <c r="A50" s="316" t="s">
        <v>79</v>
      </c>
      <c r="B50" s="90"/>
      <c r="C50" s="88"/>
      <c r="D50" s="97"/>
      <c r="E50" s="96"/>
      <c r="F50" s="96"/>
      <c r="G50" s="95">
        <f>G31+F49</f>
        <v>399.82000000000028</v>
      </c>
    </row>
    <row r="51" spans="1:7" ht="15.75" thickBot="1" x14ac:dyDescent="0.3">
      <c r="A51" s="317" t="s">
        <v>42</v>
      </c>
      <c r="B51" s="19"/>
      <c r="C51" s="318"/>
      <c r="D51" s="319"/>
      <c r="E51" s="318"/>
      <c r="F51" s="99">
        <f>SUM(F48:F49)</f>
        <v>5781</v>
      </c>
      <c r="G51" s="100">
        <f>SUM(G48:G49)</f>
        <v>5781</v>
      </c>
    </row>
  </sheetData>
  <mergeCells count="6">
    <mergeCell ref="B29:D29"/>
    <mergeCell ref="E29:G29"/>
    <mergeCell ref="A1:G2"/>
    <mergeCell ref="B3:D3"/>
    <mergeCell ref="E3:G3"/>
    <mergeCell ref="A27:G28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Balans</vt:lpstr>
      <vt:lpstr>Vereniging</vt:lpstr>
      <vt:lpstr>Elerion</vt:lpstr>
      <vt:lpstr>Bron</vt:lpstr>
      <vt:lpstr>Herberg</vt:lpstr>
      <vt:lpstr>Poorten van Alexandria</vt:lpstr>
      <vt:lpstr>Horror</vt:lpstr>
      <vt:lpstr>Moresnet</vt:lpstr>
      <vt:lpstr>Belvedere</vt:lpstr>
      <vt:lpstr>Lustrum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Moniek Pillen</cp:lastModifiedBy>
  <cp:lastPrinted>2020-04-23T14:00:48Z</cp:lastPrinted>
  <dcterms:created xsi:type="dcterms:W3CDTF">2014-11-25T10:31:49Z</dcterms:created>
  <dcterms:modified xsi:type="dcterms:W3CDTF">2020-08-15T07:14:41Z</dcterms:modified>
</cp:coreProperties>
</file>